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backupFile="1" codeName="ThisWorkbook"/>
  <mc:AlternateContent xmlns:mc="http://schemas.openxmlformats.org/markup-compatibility/2006">
    <mc:Choice Requires="x15">
      <x15ac:absPath xmlns:x15ac="http://schemas.microsoft.com/office/spreadsheetml/2010/11/ac" url="C:\Users\Mixcraftio\Code\Repos\Hellfire\Documentation\StabTraj\"/>
    </mc:Choice>
  </mc:AlternateContent>
  <xr:revisionPtr revIDLastSave="0" documentId="13_ncr:1_{45F24C6C-ADE0-42BB-B441-C02B90CFA07A}" xr6:coauthVersionLast="47" xr6:coauthVersionMax="47" xr10:uidLastSave="{00000000-0000-0000-0000-000000000000}"/>
  <bookViews>
    <workbookView xWindow="-103" yWindow="-103" windowWidth="22149" windowHeight="1320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O7" i="6"/>
  <c r="K25" i="7"/>
  <c r="M7" i="6"/>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H176" i="6"/>
  <c r="C177" i="6"/>
  <c r="F177" i="6"/>
  <c r="G177" i="6"/>
  <c r="H177" i="6"/>
  <c r="C178" i="6"/>
  <c r="F178" i="6"/>
  <c r="G178" i="6"/>
  <c r="H178" i="6"/>
  <c r="C179" i="6"/>
  <c r="F179" i="6"/>
  <c r="G179" i="6"/>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P15" i="6"/>
  <c r="H42" i="7" s="1"/>
  <c r="C163" i="6"/>
  <c r="O21" i="6"/>
  <c r="C167" i="6"/>
  <c r="C166" i="6"/>
  <c r="D161" i="6"/>
  <c r="E161" i="6" s="1"/>
  <c r="D158" i="6"/>
  <c r="E158" i="6" s="1"/>
  <c r="D162" i="6"/>
  <c r="E162" i="6" s="1"/>
  <c r="D160" i="6"/>
  <c r="E160" i="6" s="1"/>
  <c r="D159" i="6"/>
  <c r="E159" i="6" s="1"/>
  <c r="D166" i="6"/>
  <c r="E166" i="6" s="1"/>
  <c r="D167" i="6"/>
  <c r="E167" i="6" s="1"/>
  <c r="D163" i="6"/>
  <c r="E163" i="6" s="1"/>
  <c r="S206" i="4"/>
  <c r="R206" i="4"/>
  <c r="T206" i="4"/>
  <c r="U206" i="4"/>
  <c r="X205" i="4"/>
  <c r="W206" i="4" s="1"/>
  <c r="V206" i="4"/>
  <c r="X100" i="4"/>
  <c r="L105" i="4"/>
  <c r="C105" i="4"/>
  <c r="K105" i="4"/>
  <c r="O105" i="4"/>
  <c r="S100" i="4"/>
  <c r="U100" i="4"/>
  <c r="H100" i="4"/>
  <c r="Q100" i="4"/>
  <c r="Q105" i="4"/>
  <c r="D177" i="6" l="1"/>
  <c r="E177" i="6" s="1"/>
  <c r="D179" i="6"/>
  <c r="E179" i="6" s="1"/>
  <c r="D176" i="6"/>
  <c r="E176" i="6" s="1"/>
  <c r="C133" i="6"/>
  <c r="I38" i="7"/>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B54" i="8"/>
  <c r="C54" i="8" s="1"/>
  <c r="D26" i="7"/>
  <c r="B53" i="8"/>
  <c r="C53" i="8" s="1"/>
  <c r="B60" i="8"/>
  <c r="C60" i="8" s="1"/>
  <c r="B66" i="8"/>
  <c r="C66" i="8" s="1"/>
  <c r="B52" i="8"/>
  <c r="C52" i="8" s="1"/>
  <c r="B57" i="8"/>
  <c r="C57" i="8" s="1"/>
  <c r="T14" i="6"/>
  <c r="C173" i="6"/>
  <c r="C172" i="6"/>
  <c r="D23" i="7"/>
  <c r="E108" i="7"/>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Q3" i="4"/>
  <c r="T3" i="4"/>
  <c r="Y4" i="4"/>
  <c r="E4" i="7" l="1"/>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X2" i="4"/>
  <c r="M3" i="4"/>
  <c r="Q4" i="4"/>
  <c r="O3" i="4"/>
  <c r="O4" i="4"/>
  <c r="D4" i="4"/>
  <c r="S4" i="4"/>
  <c r="N3" i="4"/>
  <c r="R4" i="4"/>
  <c r="W4" i="4"/>
  <c r="I4" i="4"/>
  <c r="I3" i="4"/>
  <c r="B4" i="4"/>
  <c r="J2" i="4"/>
  <c r="W3" i="4"/>
  <c r="N2" i="4"/>
  <c r="R3" i="4"/>
  <c r="V2" i="4"/>
  <c r="T4" i="4"/>
  <c r="J4" i="4"/>
  <c r="R2" i="4"/>
  <c r="E3" i="4"/>
  <c r="F3" i="4"/>
  <c r="N4" i="4"/>
  <c r="Y3" i="4"/>
  <c r="L4" i="4"/>
  <c r="K4" i="4"/>
  <c r="V3" i="4"/>
  <c r="H4" i="4"/>
  <c r="C4" i="4"/>
  <c r="P4" i="4"/>
  <c r="P2" i="4"/>
  <c r="P3" i="4"/>
  <c r="L2" i="4"/>
  <c r="X3" i="4"/>
  <c r="U4" i="4"/>
  <c r="E4" i="4"/>
  <c r="B3" i="4"/>
  <c r="J3" i="4"/>
  <c r="X4" i="4"/>
  <c r="Z2" i="4"/>
  <c r="F4" i="4"/>
  <c r="U3" i="4"/>
  <c r="T2" i="4"/>
  <c r="D3" i="4"/>
  <c r="H2" i="4"/>
  <c r="V4" i="4"/>
  <c r="G3" i="4"/>
  <c r="S3" i="4"/>
  <c r="H3" i="4"/>
  <c r="C3" i="4"/>
  <c r="G4" i="4"/>
  <c r="K3" i="4"/>
  <c r="M4" i="4"/>
  <c r="L3" i="4"/>
  <c r="E28" i="6" l="1"/>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C11" i="1" s="1"/>
  <c r="S4" i="3" s="1"/>
  <c r="T4" i="3" s="1"/>
  <c r="U4" i="3" s="1"/>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E35" i="6" l="1"/>
  <c r="O22" i="6" s="1"/>
  <c r="O19" i="6" s="1"/>
  <c r="H28" i="6" s="1"/>
  <c r="C190" i="6" s="1"/>
  <c r="M22" i="6"/>
  <c r="C164" i="6"/>
  <c r="C165" i="6"/>
  <c r="AC5" i="3"/>
  <c r="P5" i="3"/>
  <c r="Q5" i="3" s="1"/>
  <c r="A6" i="3"/>
  <c r="B6" i="3" s="1"/>
  <c r="AC6" i="3" s="1"/>
  <c r="N15" i="6"/>
  <c r="I42" i="7"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M15" i="6"/>
  <c r="J42" i="7"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M19" i="6" l="1"/>
  <c r="H31" i="6" s="1"/>
  <c r="H29" i="6" s="1"/>
  <c r="H47" i="7" s="1"/>
  <c r="C150" i="6"/>
  <c r="AA6" i="3"/>
  <c r="H48" i="8"/>
  <c r="P29" i="1"/>
  <c r="A7" i="3"/>
  <c r="B7" i="3" s="1"/>
  <c r="P7" i="3" s="1"/>
  <c r="Q7" i="3" s="1"/>
  <c r="AD6" i="3"/>
  <c r="P6" i="3"/>
  <c r="Q6" i="3" s="1"/>
  <c r="H71" i="7"/>
  <c r="I29" i="6"/>
  <c r="I47" i="7" s="1"/>
  <c r="B192" i="6"/>
  <c r="Z6" i="3"/>
  <c r="H68" i="7"/>
  <c r="H16" i="7"/>
  <c r="P28" i="1"/>
  <c r="H50" i="8"/>
  <c r="C149" i="6"/>
  <c r="C155"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B193" i="6" l="1"/>
  <c r="H32" i="6"/>
  <c r="I32" i="6"/>
  <c r="C157" i="6"/>
  <c r="C156" i="6" s="1"/>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I14" i="7"/>
  <c r="I30" i="6"/>
  <c r="I48" i="7" s="1"/>
  <c r="S29" i="6"/>
  <c r="H14" i="7"/>
  <c r="B194" i="6"/>
  <c r="H30" i="6"/>
  <c r="H48" i="7" s="1"/>
  <c r="B190" i="6"/>
  <c r="S194" i="4"/>
  <c r="Q196" i="4"/>
  <c r="F108" i="4"/>
  <c r="D233" i="4"/>
  <c r="F233" i="4" s="1"/>
  <c r="F2" i="4"/>
  <c r="J58" i="8" l="1"/>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I15" i="7"/>
  <c r="M50" i="8"/>
  <c r="H33" i="6"/>
  <c r="S30" i="6"/>
  <c r="H15" i="7"/>
  <c r="R196" i="4"/>
  <c r="T194" i="4"/>
  <c r="L49" i="8" l="1"/>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M6" i="3"/>
  <c r="N6" i="3" s="1"/>
  <c r="E6" i="3"/>
  <c r="H6" i="3" s="1"/>
  <c r="K6" i="3" s="1"/>
  <c r="L6" i="3" s="1"/>
  <c r="D193" i="4"/>
  <c r="AA15" i="3"/>
  <c r="P15" i="3"/>
  <c r="Q15" i="3" s="1"/>
  <c r="R15" i="3" s="1"/>
  <c r="AC15" i="3"/>
  <c r="Z15" i="3"/>
  <c r="AD15" i="3"/>
  <c r="A16" i="3"/>
  <c r="B16" i="3" s="1"/>
  <c r="S11" i="3" l="1"/>
  <c r="T11" i="3" s="1"/>
  <c r="V6" i="3"/>
  <c r="AE6" i="3"/>
  <c r="F6" i="3"/>
  <c r="I6" i="3"/>
  <c r="F193" i="4"/>
  <c r="AA16" i="3"/>
  <c r="AD16" i="3"/>
  <c r="AC16" i="3"/>
  <c r="P16" i="3"/>
  <c r="Q16" i="3" s="1"/>
  <c r="R16" i="3" s="1"/>
  <c r="Z16" i="3"/>
  <c r="A17" i="3"/>
  <c r="B17" i="3" s="1"/>
  <c r="U6" i="3"/>
  <c r="Y5" i="3"/>
  <c r="N36" i="1" l="1"/>
  <c r="M37" i="6"/>
  <c r="S12" i="3"/>
  <c r="S13" i="3" s="1"/>
  <c r="W6" i="3"/>
  <c r="E7" i="3" s="1"/>
  <c r="H7" i="3" s="1"/>
  <c r="P17" i="3"/>
  <c r="Q17" i="3" s="1"/>
  <c r="R17" i="3" s="1"/>
  <c r="A18" i="3"/>
  <c r="B18" i="3" s="1"/>
  <c r="AC17" i="3"/>
  <c r="Z17" i="3"/>
  <c r="AD17" i="3"/>
  <c r="AA17" i="3"/>
  <c r="T12" i="3" l="1"/>
  <c r="AH7" i="3"/>
  <c r="AG7" i="3"/>
  <c r="D7" i="3"/>
  <c r="G7" i="3" s="1"/>
  <c r="M7" i="3" s="1"/>
  <c r="N7" i="3" s="1"/>
  <c r="S14" i="3"/>
  <c r="T13" i="3"/>
  <c r="AA18" i="3"/>
  <c r="P18" i="3"/>
  <c r="Q18" i="3" s="1"/>
  <c r="R18" i="3" s="1"/>
  <c r="AC18" i="3"/>
  <c r="A19" i="3"/>
  <c r="B19" i="3" s="1"/>
  <c r="AD18" i="3"/>
  <c r="Z18" i="3"/>
  <c r="K7"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D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D44" i="3"/>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U204" i="3" l="1"/>
  <c r="Y203" i="3"/>
  <c r="T205" i="3"/>
  <c r="AH205" i="3" s="1"/>
  <c r="E205" i="3" l="1"/>
  <c r="H205" i="3" s="1"/>
  <c r="D205" i="3"/>
  <c r="AG205" i="3"/>
  <c r="K205" i="3" l="1"/>
  <c r="F205" i="3"/>
  <c r="G205" i="3"/>
  <c r="V205" i="3" l="1"/>
  <c r="A206" i="3"/>
  <c r="B206" i="3" s="1"/>
  <c r="AE205" i="3"/>
  <c r="I205" i="3"/>
  <c r="J205" i="3"/>
  <c r="AD205" i="3" s="1"/>
  <c r="M205" i="3"/>
  <c r="N205" i="3" s="1"/>
  <c r="W205" i="3" l="1"/>
  <c r="L205" i="3"/>
  <c r="AC206" i="3"/>
  <c r="P206" i="3"/>
  <c r="Q206" i="3" s="1"/>
  <c r="R206" i="3" s="1"/>
  <c r="S206" i="3" s="1"/>
  <c r="Z206" i="3"/>
  <c r="AA206" i="3"/>
  <c r="T206" i="3" l="1"/>
  <c r="AH206" i="3" s="1"/>
  <c r="U205" i="3"/>
  <c r="Y204" i="3"/>
  <c r="AG206" i="3" l="1"/>
  <c r="D206" i="3"/>
  <c r="E206" i="3"/>
  <c r="H206" i="3" s="1"/>
  <c r="F206" i="3" l="1"/>
  <c r="G206" i="3"/>
  <c r="K206" i="3"/>
  <c r="I206" i="3" l="1"/>
  <c r="J206" i="3"/>
  <c r="AD206" i="3" s="1"/>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A209" i="3"/>
  <c r="Z209" i="3"/>
  <c r="U208" i="3" l="1"/>
  <c r="Y207" i="3"/>
  <c r="T209" i="3"/>
  <c r="AH209" i="3" s="1"/>
  <c r="AG209" i="3" l="1"/>
  <c r="D209" i="3"/>
  <c r="G209" i="3" s="1"/>
  <c r="E209" i="3"/>
  <c r="H209" i="3" s="1"/>
  <c r="F209" i="3" l="1"/>
  <c r="K209" i="3"/>
  <c r="I209" i="3"/>
  <c r="J209" i="3"/>
  <c r="AD209" i="3" s="1"/>
  <c r="M209" i="3"/>
  <c r="N209" i="3" s="1"/>
  <c r="L209" i="3" l="1"/>
  <c r="V209" i="3"/>
  <c r="W209" i="3" s="1"/>
  <c r="A210" i="3"/>
  <c r="B210" i="3" s="1"/>
  <c r="AE209" i="3"/>
  <c r="AC210" i="3" l="1"/>
  <c r="Z210" i="3"/>
  <c r="P210" i="3"/>
  <c r="Q210" i="3" s="1"/>
  <c r="R210" i="3" s="1"/>
  <c r="S210" i="3" s="1"/>
  <c r="AA210" i="3"/>
  <c r="U209" i="3"/>
  <c r="Y208" i="3"/>
  <c r="T210" i="3" l="1"/>
  <c r="AG210" i="3" s="1"/>
  <c r="AH210" i="3" l="1"/>
  <c r="D210" i="3"/>
  <c r="E210" i="3"/>
  <c r="H210" i="3" s="1"/>
  <c r="F210" i="3" l="1"/>
  <c r="G210" i="3"/>
  <c r="K210" i="3"/>
  <c r="V210" i="3" l="1"/>
  <c r="AE210" i="3"/>
  <c r="A211" i="3"/>
  <c r="B211" i="3" s="1"/>
  <c r="I210" i="3"/>
  <c r="J210" i="3"/>
  <c r="AD210" i="3" s="1"/>
  <c r="M210" i="3"/>
  <c r="N210" i="3" s="1"/>
  <c r="W210" i="3" l="1"/>
  <c r="AC211" i="3"/>
  <c r="Z211" i="3"/>
  <c r="P211" i="3"/>
  <c r="Q211" i="3" s="1"/>
  <c r="R211" i="3" s="1"/>
  <c r="S211" i="3" s="1"/>
  <c r="AA211" i="3"/>
  <c r="L210" i="3"/>
  <c r="T211" i="3" l="1"/>
  <c r="AG211" i="3" s="1"/>
  <c r="U210" i="3"/>
  <c r="Y209" i="3"/>
  <c r="E211" i="3" l="1"/>
  <c r="H211" i="3" s="1"/>
  <c r="D211" i="3"/>
  <c r="AH211" i="3"/>
  <c r="K211" i="3" l="1"/>
  <c r="F211" i="3"/>
  <c r="G211" i="3"/>
  <c r="I211" i="3" l="1"/>
  <c r="J211" i="3"/>
  <c r="AD211" i="3" s="1"/>
  <c r="M211" i="3"/>
  <c r="N211" i="3" s="1"/>
  <c r="V211" i="3"/>
  <c r="AE211" i="3"/>
  <c r="A212" i="3"/>
  <c r="B212" i="3" s="1"/>
  <c r="W211" i="3" l="1"/>
  <c r="AA212" i="3"/>
  <c r="Z212" i="3"/>
  <c r="P212" i="3"/>
  <c r="Q212" i="3" s="1"/>
  <c r="R212" i="3" s="1"/>
  <c r="S212" i="3" s="1"/>
  <c r="AC212" i="3"/>
  <c r="L211" i="3"/>
  <c r="U211" i="3" l="1"/>
  <c r="Y210" i="3"/>
  <c r="T212" i="3"/>
  <c r="E212" i="3" l="1"/>
  <c r="H212" i="3" s="1"/>
  <c r="K212" i="3" s="1"/>
  <c r="AH212" i="3"/>
  <c r="AG212" i="3"/>
  <c r="D212" i="3"/>
  <c r="F212" i="3" l="1"/>
  <c r="G212" i="3"/>
  <c r="V212" i="3"/>
  <c r="A213" i="3"/>
  <c r="B213" i="3" s="1"/>
  <c r="AE212" i="3"/>
  <c r="AC213" i="3" l="1"/>
  <c r="P213" i="3"/>
  <c r="Q213" i="3" s="1"/>
  <c r="R213" i="3" s="1"/>
  <c r="S213" i="3" s="1"/>
  <c r="AA213" i="3"/>
  <c r="Z213" i="3"/>
  <c r="I212" i="3"/>
  <c r="W212" i="3" s="1"/>
  <c r="J212" i="3"/>
  <c r="AD212" i="3" s="1"/>
  <c r="M212" i="3"/>
  <c r="N212" i="3" s="1"/>
  <c r="T213" i="3" l="1"/>
  <c r="L212" i="3"/>
  <c r="U212" i="3" l="1"/>
  <c r="E213" i="3" s="1"/>
  <c r="H213" i="3" s="1"/>
  <c r="AH213" i="3"/>
  <c r="AG213" i="3"/>
  <c r="Y211" i="3"/>
  <c r="D213" i="3" l="1"/>
  <c r="G213" i="3" s="1"/>
  <c r="K213" i="3"/>
  <c r="F213" i="3" l="1"/>
  <c r="I213" i="3"/>
  <c r="J213" i="3"/>
  <c r="AD213" i="3" s="1"/>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AD217" i="3"/>
  <c r="T217" i="3" l="1"/>
  <c r="D217" i="3" s="1"/>
  <c r="G217" i="3" l="1"/>
  <c r="AG217" i="3"/>
  <c r="AH217" i="3"/>
  <c r="E217" i="3"/>
  <c r="H217" i="3" s="1"/>
  <c r="I217" i="3" l="1"/>
  <c r="J217" i="3"/>
  <c r="M217" i="3"/>
  <c r="N217" i="3" s="1"/>
  <c r="K217" i="3"/>
  <c r="AE217" i="3" s="1"/>
  <c r="F217" i="3"/>
  <c r="V217" i="3" l="1"/>
  <c r="W217" i="3" s="1"/>
  <c r="A218" i="3"/>
  <c r="B218" i="3" s="1"/>
  <c r="L217" i="3"/>
  <c r="U217" i="3" l="1"/>
  <c r="Y216" i="3"/>
  <c r="AC218" i="3"/>
  <c r="AA218" i="3"/>
  <c r="Z218" i="3"/>
  <c r="P218" i="3"/>
  <c r="Q218" i="3" s="1"/>
  <c r="R218" i="3" s="1"/>
  <c r="S218" i="3" s="1"/>
  <c r="AD218" i="3"/>
  <c r="T218" i="3" l="1"/>
  <c r="AG218" i="3" s="1"/>
  <c r="AH218" i="3" l="1"/>
  <c r="E218" i="3"/>
  <c r="H218" i="3" s="1"/>
  <c r="K218" i="3" s="1"/>
  <c r="AE218" i="3" s="1"/>
  <c r="D218" i="3"/>
  <c r="G218" i="3" s="1"/>
  <c r="F218" i="3" l="1"/>
  <c r="I218" i="3"/>
  <c r="J218" i="3"/>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D227" i="3"/>
  <c r="AC227" i="3"/>
  <c r="T227" i="3" l="1"/>
  <c r="D227" i="3" s="1"/>
  <c r="E227" i="3" l="1"/>
  <c r="H227" i="3" s="1"/>
  <c r="K227" i="3" s="1"/>
  <c r="AE227" i="3" s="1"/>
  <c r="AH227" i="3"/>
  <c r="AG227" i="3"/>
  <c r="G227" i="3"/>
  <c r="F227" i="3" l="1"/>
  <c r="V227" i="3"/>
  <c r="A228" i="3"/>
  <c r="B228" i="3" s="1"/>
  <c r="I227" i="3"/>
  <c r="J227" i="3"/>
  <c r="M227" i="3"/>
  <c r="N227" i="3" s="1"/>
  <c r="L227" i="3" l="1"/>
  <c r="W227" i="3"/>
  <c r="AD228"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D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L237" i="3" s="1"/>
  <c r="P238" i="3"/>
  <c r="Q238" i="3" s="1"/>
  <c r="R238" i="3" s="1"/>
  <c r="S238" i="3" s="1"/>
  <c r="Z238" i="3"/>
  <c r="AC238" i="3"/>
  <c r="AA238" i="3"/>
  <c r="AD238" i="3"/>
  <c r="T238" i="3" l="1"/>
  <c r="AG238" i="3" s="1"/>
  <c r="U237" i="3"/>
  <c r="Y236" i="3"/>
  <c r="AH238" i="3" l="1"/>
  <c r="E238" i="3"/>
  <c r="H238" i="3" s="1"/>
  <c r="K238" i="3" s="1"/>
  <c r="AE238" i="3" s="1"/>
  <c r="D238" i="3"/>
  <c r="F238" i="3" l="1"/>
  <c r="G238" i="3"/>
  <c r="M238" i="3" s="1"/>
  <c r="N238" i="3" s="1"/>
  <c r="V238" i="3"/>
  <c r="A239" i="3"/>
  <c r="B239" i="3" s="1"/>
  <c r="I238" i="3" l="1"/>
  <c r="W238" i="3" s="1"/>
  <c r="J238" i="3"/>
  <c r="L238" i="3" s="1"/>
  <c r="AD239" i="3"/>
  <c r="P239" i="3"/>
  <c r="Q239" i="3" s="1"/>
  <c r="R239" i="3" s="1"/>
  <c r="S239" i="3" s="1"/>
  <c r="AC239" i="3"/>
  <c r="Z239" i="3"/>
  <c r="AA239" i="3"/>
  <c r="T239" i="3" l="1"/>
  <c r="U238" i="3"/>
  <c r="Y237" i="3"/>
  <c r="D239" i="3" l="1"/>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AD247" i="3"/>
  <c r="U246" i="3" l="1"/>
  <c r="Y245" i="3"/>
  <c r="T247" i="3"/>
  <c r="AG247" i="3" s="1"/>
  <c r="AH247" i="3" l="1"/>
  <c r="D247" i="3"/>
  <c r="E247" i="3"/>
  <c r="H247" i="3" s="1"/>
  <c r="K247" i="3" s="1"/>
  <c r="AE247" i="3" s="1"/>
  <c r="F247" i="3" l="1"/>
  <c r="G247" i="3"/>
  <c r="M247" i="3" s="1"/>
  <c r="N247" i="3" s="1"/>
  <c r="V247" i="3"/>
  <c r="A248" i="3"/>
  <c r="B248" i="3" s="1"/>
  <c r="I247" i="3" l="1"/>
  <c r="W247" i="3" s="1"/>
  <c r="J247" i="3"/>
  <c r="L247" i="3" s="1"/>
  <c r="Z248" i="3"/>
  <c r="P248" i="3"/>
  <c r="Q248" i="3" s="1"/>
  <c r="R248" i="3" s="1"/>
  <c r="S248" i="3" s="1"/>
  <c r="AA248" i="3"/>
  <c r="AC248" i="3"/>
  <c r="AD248" i="3"/>
  <c r="U247" i="3" l="1"/>
  <c r="Y246" i="3"/>
  <c r="T248" i="3"/>
  <c r="AG248" i="3" s="1"/>
  <c r="E248" i="3" l="1"/>
  <c r="H248" i="3" s="1"/>
  <c r="K248" i="3" s="1"/>
  <c r="AE248" i="3" s="1"/>
  <c r="AH248" i="3"/>
  <c r="D248" i="3"/>
  <c r="G248" i="3" s="1"/>
  <c r="F248" i="3" l="1"/>
  <c r="I248" i="3"/>
  <c r="J248" i="3"/>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D257"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M257" i="3"/>
  <c r="N257" i="3" s="1"/>
  <c r="W257" i="3" l="1"/>
  <c r="L257" i="3"/>
  <c r="AC258" i="3"/>
  <c r="AD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AD267" i="3"/>
  <c r="T267" i="3" l="1"/>
  <c r="L266" i="3"/>
  <c r="AH267" i="3" l="1"/>
  <c r="AG267" i="3"/>
  <c r="U266" i="3"/>
  <c r="E267" i="3" s="1"/>
  <c r="H267" i="3" s="1"/>
  <c r="Y265" i="3"/>
  <c r="K267" i="3" l="1"/>
  <c r="AE267" i="3" s="1"/>
  <c r="D267" i="3"/>
  <c r="V267" i="3" l="1"/>
  <c r="A268" i="3"/>
  <c r="B268" i="3" s="1"/>
  <c r="F267" i="3"/>
  <c r="G267" i="3"/>
  <c r="I267" i="3" l="1"/>
  <c r="W267" i="3" s="1"/>
  <c r="J267" i="3"/>
  <c r="M267" i="3"/>
  <c r="N267" i="3" s="1"/>
  <c r="AC268" i="3"/>
  <c r="P268" i="3"/>
  <c r="Q268" i="3" s="1"/>
  <c r="R268" i="3" s="1"/>
  <c r="S268" i="3" s="1"/>
  <c r="Z268" i="3"/>
  <c r="AA268" i="3"/>
  <c r="AD268" i="3"/>
  <c r="T268" i="3" l="1"/>
  <c r="L267" i="3"/>
  <c r="U267" i="3" l="1"/>
  <c r="E268" i="3" s="1"/>
  <c r="H268" i="3" s="1"/>
  <c r="AH268" i="3"/>
  <c r="AG268" i="3"/>
  <c r="Y266" i="3"/>
  <c r="K268" i="3" l="1"/>
  <c r="AE268" i="3" s="1"/>
  <c r="D268" i="3"/>
  <c r="V268" i="3" l="1"/>
  <c r="A269" i="3"/>
  <c r="B269" i="3" s="1"/>
  <c r="F268" i="3"/>
  <c r="G268" i="3"/>
  <c r="I268" i="3" l="1"/>
  <c r="W268" i="3" s="1"/>
  <c r="J268" i="3"/>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D277" i="3"/>
  <c r="AA277" i="3"/>
  <c r="U276" i="3" l="1"/>
  <c r="Y275" i="3"/>
  <c r="T277" i="3"/>
  <c r="AG277" i="3" s="1"/>
  <c r="D277" i="3" l="1"/>
  <c r="G277" i="3" s="1"/>
  <c r="E277" i="3"/>
  <c r="H277" i="3" s="1"/>
  <c r="K277" i="3" s="1"/>
  <c r="AE277" i="3" s="1"/>
  <c r="AH277" i="3"/>
  <c r="F277" i="3" l="1"/>
  <c r="V277" i="3"/>
  <c r="A278" i="3"/>
  <c r="B278" i="3" s="1"/>
  <c r="I277" i="3"/>
  <c r="J277" i="3"/>
  <c r="M277" i="3"/>
  <c r="N277" i="3" s="1"/>
  <c r="W277" i="3" l="1"/>
  <c r="L277" i="3"/>
  <c r="AD278"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D287" i="3"/>
  <c r="AC287" i="3"/>
  <c r="T287" i="3" l="1"/>
  <c r="D287" i="3" s="1"/>
  <c r="G287" i="3" l="1"/>
  <c r="AH287" i="3"/>
  <c r="AG287" i="3"/>
  <c r="E287" i="3"/>
  <c r="H287" i="3" s="1"/>
  <c r="F287" i="3" l="1"/>
  <c r="K287" i="3"/>
  <c r="AE287" i="3" s="1"/>
  <c r="I287" i="3"/>
  <c r="J287" i="3"/>
  <c r="M287" i="3"/>
  <c r="N287" i="3" s="1"/>
  <c r="L287" i="3" l="1"/>
  <c r="V287" i="3"/>
  <c r="W287" i="3" s="1"/>
  <c r="A288" i="3"/>
  <c r="B288" i="3" s="1"/>
  <c r="U287" i="3" l="1"/>
  <c r="Y286" i="3"/>
  <c r="P288" i="3"/>
  <c r="Q288" i="3" s="1"/>
  <c r="R288" i="3" s="1"/>
  <c r="S288" i="3" s="1"/>
  <c r="AA288" i="3"/>
  <c r="AC288" i="3"/>
  <c r="AD288" i="3"/>
  <c r="Z288" i="3"/>
  <c r="T288" i="3" l="1"/>
  <c r="D288" i="3" s="1"/>
  <c r="AG288" i="3" l="1"/>
  <c r="AH288" i="3"/>
  <c r="E288" i="3"/>
  <c r="H288" i="3" s="1"/>
  <c r="K288" i="3" s="1"/>
  <c r="AE288" i="3" s="1"/>
  <c r="G288" i="3"/>
  <c r="F288" i="3" l="1"/>
  <c r="I288" i="3"/>
  <c r="J288" i="3"/>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AD297" i="3"/>
  <c r="T297" i="3" l="1"/>
  <c r="E297" i="3" s="1"/>
  <c r="H297" i="3" s="1"/>
  <c r="D297" i="3" l="1"/>
  <c r="F297" i="3" s="1"/>
  <c r="AG297" i="3"/>
  <c r="K297" i="3"/>
  <c r="AE297" i="3" s="1"/>
  <c r="AH297" i="3"/>
  <c r="G297" i="3" l="1"/>
  <c r="M297" i="3" s="1"/>
  <c r="N297" i="3" s="1"/>
  <c r="V297" i="3"/>
  <c r="A298" i="3"/>
  <c r="B298" i="3" s="1"/>
  <c r="J297" i="3" l="1"/>
  <c r="L297" i="3" s="1"/>
  <c r="I297" i="3"/>
  <c r="W297" i="3" s="1"/>
  <c r="Z298" i="3"/>
  <c r="AD298" i="3"/>
  <c r="P298" i="3"/>
  <c r="Q298" i="3" s="1"/>
  <c r="R298" i="3" s="1"/>
  <c r="S298" i="3" s="1"/>
  <c r="AA298" i="3"/>
  <c r="AC298" i="3"/>
  <c r="T298" i="3" l="1"/>
  <c r="U297" i="3"/>
  <c r="Y296" i="3"/>
  <c r="E298" i="3" l="1"/>
  <c r="H298" i="3" s="1"/>
  <c r="K298" i="3" s="1"/>
  <c r="AE298" i="3" s="1"/>
  <c r="AH298" i="3"/>
  <c r="D298" i="3"/>
  <c r="AG298" i="3"/>
  <c r="F298" i="3" l="1"/>
  <c r="G298" i="3"/>
  <c r="V298" i="3"/>
  <c r="A299" i="3"/>
  <c r="B299" i="3" s="1"/>
  <c r="I298" i="3" l="1"/>
  <c r="W298" i="3" s="1"/>
  <c r="J298" i="3"/>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AD307" i="3"/>
  <c r="T307" i="3" l="1"/>
  <c r="AH307" i="3" s="1"/>
  <c r="U306" i="3"/>
  <c r="Y305" i="3"/>
  <c r="D307" i="3" l="1"/>
  <c r="E307" i="3"/>
  <c r="H307" i="3" s="1"/>
  <c r="AG307" i="3"/>
  <c r="F307" i="3" l="1"/>
  <c r="G307" i="3"/>
  <c r="K307" i="3"/>
  <c r="AE307" i="3" s="1"/>
  <c r="I307" i="3" l="1"/>
  <c r="J307" i="3"/>
  <c r="M307" i="3"/>
  <c r="N307" i="3" s="1"/>
  <c r="V307" i="3"/>
  <c r="A308" i="3"/>
  <c r="B308" i="3" s="1"/>
  <c r="L307" i="3" l="1"/>
  <c r="Z308" i="3"/>
  <c r="AD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D317" i="3"/>
  <c r="AC317" i="3"/>
  <c r="T317" i="3" l="1"/>
  <c r="AG317" i="3" s="1"/>
  <c r="U316" i="3"/>
  <c r="Y315" i="3"/>
  <c r="E317" i="3" l="1"/>
  <c r="H317" i="3" s="1"/>
  <c r="K317" i="3" s="1"/>
  <c r="AE317" i="3" s="1"/>
  <c r="D317" i="3"/>
  <c r="AH317" i="3"/>
  <c r="V317" i="3" l="1"/>
  <c r="A318" i="3"/>
  <c r="B318" i="3" s="1"/>
  <c r="F317" i="3"/>
  <c r="G317" i="3"/>
  <c r="I317" i="3" l="1"/>
  <c r="W317" i="3" s="1"/>
  <c r="J317" i="3"/>
  <c r="M317" i="3"/>
  <c r="N317" i="3" s="1"/>
  <c r="AA318" i="3"/>
  <c r="P318" i="3"/>
  <c r="Q318" i="3" s="1"/>
  <c r="R318" i="3" s="1"/>
  <c r="S318" i="3" s="1"/>
  <c r="Z318" i="3"/>
  <c r="AC318" i="3"/>
  <c r="AD318" i="3"/>
  <c r="T318" i="3" l="1"/>
  <c r="L317" i="3"/>
  <c r="AH318" i="3" l="1"/>
  <c r="AG318" i="3"/>
  <c r="U317" i="3"/>
  <c r="E318" i="3" s="1"/>
  <c r="H318" i="3" s="1"/>
  <c r="Y316" i="3"/>
  <c r="K318" i="3" l="1"/>
  <c r="AE318" i="3" s="1"/>
  <c r="D318" i="3"/>
  <c r="V318" i="3" l="1"/>
  <c r="A319" i="3"/>
  <c r="B319" i="3" s="1"/>
  <c r="F318" i="3"/>
  <c r="G318" i="3"/>
  <c r="I318" i="3" l="1"/>
  <c r="W318" i="3" s="1"/>
  <c r="J318" i="3"/>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D367" i="3"/>
  <c r="AA367" i="3"/>
  <c r="T367" i="3" l="1"/>
  <c r="AG367" i="3" s="1"/>
  <c r="U366" i="3"/>
  <c r="Y365" i="3"/>
  <c r="D367" i="3" l="1"/>
  <c r="AH367" i="3"/>
  <c r="E367" i="3"/>
  <c r="H367" i="3" s="1"/>
  <c r="F367" i="3" l="1"/>
  <c r="G367" i="3"/>
  <c r="K367" i="3"/>
  <c r="AE367" i="3" s="1"/>
  <c r="I367" i="3" l="1"/>
  <c r="J367" i="3"/>
  <c r="M367" i="3"/>
  <c r="N367" i="3" s="1"/>
  <c r="V367" i="3"/>
  <c r="A368" i="3"/>
  <c r="B368" i="3" s="1"/>
  <c r="L367" i="3" l="1"/>
  <c r="W367" i="3"/>
  <c r="Z368" i="3"/>
  <c r="P368" i="3"/>
  <c r="Q368" i="3" s="1"/>
  <c r="R368" i="3" s="1"/>
  <c r="S368" i="3" s="1"/>
  <c r="AD368" i="3"/>
  <c r="AC368" i="3"/>
  <c r="AA368" i="3"/>
  <c r="T368" i="3" l="1"/>
  <c r="AH368" i="3" s="1"/>
  <c r="U367" i="3"/>
  <c r="Y366" i="3"/>
  <c r="E368" i="3" l="1"/>
  <c r="H368" i="3" s="1"/>
  <c r="K368" i="3" s="1"/>
  <c r="AE368" i="3" s="1"/>
  <c r="D368" i="3"/>
  <c r="AG368" i="3"/>
  <c r="V368" i="3" l="1"/>
  <c r="A369" i="3"/>
  <c r="B369" i="3" s="1"/>
  <c r="F368" i="3"/>
  <c r="G368" i="3"/>
  <c r="I368" i="3" l="1"/>
  <c r="W368" i="3" s="1"/>
  <c r="J368" i="3"/>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AD377" i="3"/>
  <c r="Z377" i="3"/>
  <c r="U376" i="3"/>
  <c r="Y375" i="3"/>
  <c r="T377" i="3" l="1"/>
  <c r="AH377" i="3" s="1"/>
  <c r="E377" i="3" l="1"/>
  <c r="H377" i="3" s="1"/>
  <c r="K377" i="3" s="1"/>
  <c r="AE377" i="3" s="1"/>
  <c r="D377" i="3"/>
  <c r="AG377" i="3"/>
  <c r="F377" i="3" l="1"/>
  <c r="G377" i="3"/>
  <c r="M377" i="3" s="1"/>
  <c r="N377" i="3" s="1"/>
  <c r="V377" i="3"/>
  <c r="A378" i="3"/>
  <c r="B378" i="3" s="1"/>
  <c r="I377" i="3" l="1"/>
  <c r="W377" i="3" s="1"/>
  <c r="J377" i="3"/>
  <c r="L377" i="3" s="1"/>
  <c r="AD378" i="3"/>
  <c r="Z378" i="3"/>
  <c r="AC378" i="3"/>
  <c r="P378" i="3"/>
  <c r="Q378" i="3" s="1"/>
  <c r="R378" i="3" s="1"/>
  <c r="S378" i="3" s="1"/>
  <c r="AA378" i="3"/>
  <c r="U377" i="3" l="1"/>
  <c r="Y376" i="3"/>
  <c r="T378" i="3"/>
  <c r="D378" i="3" l="1"/>
  <c r="G378" i="3" s="1"/>
  <c r="AG378" i="3"/>
  <c r="E378" i="3"/>
  <c r="H378" i="3" s="1"/>
  <c r="K378" i="3" s="1"/>
  <c r="AE378" i="3" s="1"/>
  <c r="AH378" i="3"/>
  <c r="F378" i="3" l="1"/>
  <c r="V378" i="3"/>
  <c r="A379" i="3"/>
  <c r="B379" i="3" s="1"/>
  <c r="I378" i="3"/>
  <c r="J378" i="3"/>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D387" i="3"/>
  <c r="AA387" i="3"/>
  <c r="P387" i="3"/>
  <c r="Q387" i="3" s="1"/>
  <c r="R387" i="3" s="1"/>
  <c r="S387" i="3" s="1"/>
  <c r="AC387" i="3"/>
  <c r="Z387" i="3"/>
  <c r="U386" i="3" l="1"/>
  <c r="Y385" i="3"/>
  <c r="T387" i="3"/>
  <c r="AG387" i="3" s="1"/>
  <c r="AH387" i="3" l="1"/>
  <c r="D387" i="3"/>
  <c r="G387" i="3" s="1"/>
  <c r="E387" i="3"/>
  <c r="H387" i="3" s="1"/>
  <c r="F387" i="3" l="1"/>
  <c r="I387" i="3"/>
  <c r="J387" i="3"/>
  <c r="M387" i="3"/>
  <c r="N387" i="3" s="1"/>
  <c r="K387" i="3"/>
  <c r="AE387" i="3" s="1"/>
  <c r="V387" i="3" l="1"/>
  <c r="W387" i="3" s="1"/>
  <c r="A388" i="3"/>
  <c r="B388" i="3" s="1"/>
  <c r="L387" i="3"/>
  <c r="U387" i="3" l="1"/>
  <c r="Y386" i="3"/>
  <c r="AA388" i="3"/>
  <c r="Z388" i="3"/>
  <c r="P388" i="3"/>
  <c r="Q388" i="3" s="1"/>
  <c r="R388" i="3" s="1"/>
  <c r="S388" i="3" s="1"/>
  <c r="AD388" i="3"/>
  <c r="AC388" i="3"/>
  <c r="T388" i="3" l="1"/>
  <c r="E388" i="3" s="1"/>
  <c r="H388" i="3" s="1"/>
  <c r="K388" i="3" l="1"/>
  <c r="AE388" i="3" s="1"/>
  <c r="D388" i="3"/>
  <c r="AG388" i="3"/>
  <c r="AH388" i="3"/>
  <c r="V388" i="3" l="1"/>
  <c r="A389" i="3"/>
  <c r="B389" i="3" s="1"/>
  <c r="F388" i="3"/>
  <c r="G388" i="3"/>
  <c r="I388" i="3" l="1"/>
  <c r="W388" i="3" s="1"/>
  <c r="J388" i="3"/>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AD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L397" i="3" s="1"/>
  <c r="AD398" i="3"/>
  <c r="AC398" i="3"/>
  <c r="AA398" i="3"/>
  <c r="P398" i="3"/>
  <c r="Q398" i="3" s="1"/>
  <c r="R398" i="3" s="1"/>
  <c r="S398" i="3" s="1"/>
  <c r="Z398" i="3"/>
  <c r="T398" i="3" l="1"/>
  <c r="U397" i="3"/>
  <c r="Y396" i="3"/>
  <c r="E398" i="3" l="1"/>
  <c r="H398" i="3" s="1"/>
  <c r="K398" i="3" s="1"/>
  <c r="AE398" i="3" s="1"/>
  <c r="D398" i="3"/>
  <c r="G398" i="3" s="1"/>
  <c r="AH398" i="3"/>
  <c r="AG398" i="3"/>
  <c r="F398" i="3" l="1"/>
  <c r="V398" i="3"/>
  <c r="A399" i="3"/>
  <c r="B399" i="3" s="1"/>
  <c r="I398" i="3"/>
  <c r="J398" i="3"/>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D407" i="3"/>
  <c r="AA407" i="3"/>
  <c r="L406" i="3" l="1"/>
  <c r="T407" i="3"/>
  <c r="U406" i="3" l="1"/>
  <c r="D407" i="3" s="1"/>
  <c r="AG407" i="3"/>
  <c r="AH407" i="3"/>
  <c r="Y405" i="3"/>
  <c r="G407" i="3" l="1"/>
  <c r="E407" i="3"/>
  <c r="H407" i="3" s="1"/>
  <c r="F407" i="3" l="1"/>
  <c r="I407" i="3"/>
  <c r="J407" i="3"/>
  <c r="M407" i="3"/>
  <c r="N407" i="3" s="1"/>
  <c r="K407" i="3"/>
  <c r="AE407" i="3" s="1"/>
  <c r="V407" i="3" l="1"/>
  <c r="W407" i="3" s="1"/>
  <c r="A408" i="3"/>
  <c r="B408" i="3" s="1"/>
  <c r="L407" i="3"/>
  <c r="U407" i="3" l="1"/>
  <c r="Y406" i="3"/>
  <c r="Z408" i="3"/>
  <c r="AC408" i="3"/>
  <c r="AD408" i="3"/>
  <c r="P408" i="3"/>
  <c r="Q408" i="3" s="1"/>
  <c r="R408" i="3" s="1"/>
  <c r="S408" i="3" s="1"/>
  <c r="AA408" i="3"/>
  <c r="T408" i="3" l="1"/>
  <c r="AH408" i="3" s="1"/>
  <c r="E408" i="3" l="1"/>
  <c r="H408" i="3" s="1"/>
  <c r="K408" i="3" s="1"/>
  <c r="AE408" i="3" s="1"/>
  <c r="D408" i="3"/>
  <c r="G408" i="3" s="1"/>
  <c r="AG408" i="3"/>
  <c r="F408" i="3" l="1"/>
  <c r="I408" i="3"/>
  <c r="J408" i="3"/>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AD427" i="3"/>
  <c r="Z427" i="3"/>
  <c r="AA427" i="3"/>
  <c r="U426" i="3" l="1"/>
  <c r="Y425" i="3"/>
  <c r="T427" i="3"/>
  <c r="AG427" i="3" s="1"/>
  <c r="D427" i="3" l="1"/>
  <c r="G427" i="3" s="1"/>
  <c r="E427" i="3"/>
  <c r="H427" i="3" s="1"/>
  <c r="K427" i="3" s="1"/>
  <c r="AE427" i="3" s="1"/>
  <c r="AH427" i="3"/>
  <c r="F427" i="3" l="1"/>
  <c r="I427" i="3"/>
  <c r="J427" i="3"/>
  <c r="M427" i="3"/>
  <c r="N427" i="3" s="1"/>
  <c r="V427" i="3"/>
  <c r="A428" i="3"/>
  <c r="B428" i="3" s="1"/>
  <c r="W427" i="3" l="1"/>
  <c r="L427" i="3"/>
  <c r="P428" i="3"/>
  <c r="Q428" i="3" s="1"/>
  <c r="R428" i="3" s="1"/>
  <c r="S428" i="3" s="1"/>
  <c r="AC428" i="3"/>
  <c r="Z428" i="3"/>
  <c r="AA428" i="3"/>
  <c r="AD428" i="3"/>
  <c r="U427" i="3" l="1"/>
  <c r="Y426" i="3"/>
  <c r="T428" i="3"/>
  <c r="AG428" i="3" s="1"/>
  <c r="E428" i="3" l="1"/>
  <c r="H428" i="3" s="1"/>
  <c r="AH428" i="3"/>
  <c r="D428" i="3"/>
  <c r="K428" i="3" l="1"/>
  <c r="AE428" i="3" s="1"/>
  <c r="F428" i="3"/>
  <c r="G428" i="3"/>
  <c r="I428" i="3" l="1"/>
  <c r="J428" i="3"/>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AD437" i="3"/>
  <c r="Z437" i="3"/>
  <c r="U436" i="3" l="1"/>
  <c r="Y435" i="3"/>
  <c r="T437" i="3"/>
  <c r="AH437" i="3" s="1"/>
  <c r="D437" i="3" l="1"/>
  <c r="G437" i="3" s="1"/>
  <c r="E437" i="3"/>
  <c r="H437" i="3" s="1"/>
  <c r="K437" i="3" s="1"/>
  <c r="AE437" i="3" s="1"/>
  <c r="AG437" i="3"/>
  <c r="F437" i="3" l="1"/>
  <c r="I437" i="3"/>
  <c r="J437" i="3"/>
  <c r="M437" i="3"/>
  <c r="N437" i="3" s="1"/>
  <c r="V437" i="3"/>
  <c r="A438" i="3"/>
  <c r="B438" i="3" s="1"/>
  <c r="W437" i="3" l="1"/>
  <c r="L437" i="3"/>
  <c r="Z438" i="3"/>
  <c r="P438" i="3"/>
  <c r="Q438" i="3" s="1"/>
  <c r="R438" i="3" s="1"/>
  <c r="S438" i="3" s="1"/>
  <c r="AC438" i="3"/>
  <c r="AD438" i="3"/>
  <c r="AA438" i="3"/>
  <c r="U437" i="3" l="1"/>
  <c r="Y436" i="3"/>
  <c r="T438" i="3"/>
  <c r="E438" i="3" l="1"/>
  <c r="H438" i="3" s="1"/>
  <c r="K438" i="3" s="1"/>
  <c r="AE438" i="3" s="1"/>
  <c r="D438" i="3"/>
  <c r="AH438" i="3"/>
  <c r="AG438" i="3"/>
  <c r="V438" i="3" l="1"/>
  <c r="A439" i="3"/>
  <c r="B439" i="3" s="1"/>
  <c r="F438" i="3"/>
  <c r="G438" i="3"/>
  <c r="I438" i="3" l="1"/>
  <c r="W438" i="3" s="1"/>
  <c r="J438" i="3"/>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AD447" i="3"/>
  <c r="U446" i="3"/>
  <c r="Y445" i="3"/>
  <c r="T447" i="3" l="1"/>
  <c r="AG447" i="3" s="1"/>
  <c r="D447" i="3" l="1"/>
  <c r="G447" i="3" s="1"/>
  <c r="AH447" i="3"/>
  <c r="E447" i="3"/>
  <c r="H447" i="3" s="1"/>
  <c r="K447" i="3" s="1"/>
  <c r="AE447" i="3" s="1"/>
  <c r="F447" i="3" l="1"/>
  <c r="I447" i="3"/>
  <c r="J447" i="3"/>
  <c r="M447" i="3"/>
  <c r="N447" i="3" s="1"/>
  <c r="V447" i="3"/>
  <c r="A448" i="3"/>
  <c r="B448" i="3" s="1"/>
  <c r="W447" i="3" l="1"/>
  <c r="L447" i="3"/>
  <c r="AD448" i="3"/>
  <c r="Z448" i="3"/>
  <c r="AA448" i="3"/>
  <c r="P448" i="3"/>
  <c r="Q448" i="3" s="1"/>
  <c r="R448" i="3" s="1"/>
  <c r="S448" i="3" s="1"/>
  <c r="AC448" i="3"/>
  <c r="T448" i="3" l="1"/>
  <c r="AG448" i="3" s="1"/>
  <c r="U447" i="3"/>
  <c r="Y446" i="3"/>
  <c r="D448" i="3" l="1"/>
  <c r="G448" i="3" s="1"/>
  <c r="E448" i="3"/>
  <c r="H448" i="3" s="1"/>
  <c r="AH448" i="3"/>
  <c r="F448" i="3" l="1"/>
  <c r="I448" i="3"/>
  <c r="J448" i="3"/>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D457" i="3"/>
  <c r="AA457" i="3"/>
  <c r="U456" i="3"/>
  <c r="Y455" i="3"/>
  <c r="T457" i="3" l="1"/>
  <c r="D457" i="3" l="1"/>
  <c r="AH457" i="3"/>
  <c r="E457" i="3"/>
  <c r="H457" i="3" s="1"/>
  <c r="AG457" i="3"/>
  <c r="F457" i="3" l="1"/>
  <c r="G457" i="3"/>
  <c r="K457" i="3"/>
  <c r="AE457" i="3" s="1"/>
  <c r="I457" i="3" l="1"/>
  <c r="J457" i="3"/>
  <c r="M457" i="3"/>
  <c r="N457" i="3" s="1"/>
  <c r="V457" i="3"/>
  <c r="A458" i="3"/>
  <c r="B458" i="3" s="1"/>
  <c r="L457" i="3" l="1"/>
  <c r="W457" i="3"/>
  <c r="P458" i="3"/>
  <c r="Q458" i="3" s="1"/>
  <c r="R458" i="3" s="1"/>
  <c r="S458" i="3" s="1"/>
  <c r="AC458" i="3"/>
  <c r="Z458" i="3"/>
  <c r="AD458" i="3"/>
  <c r="AA458" i="3"/>
  <c r="U457" i="3" l="1"/>
  <c r="Y456" i="3"/>
  <c r="T458" i="3"/>
  <c r="AH458" i="3" s="1"/>
  <c r="AG458" i="3" l="1"/>
  <c r="E458" i="3"/>
  <c r="H458" i="3" s="1"/>
  <c r="D458" i="3"/>
  <c r="K458" i="3" l="1"/>
  <c r="AE458" i="3" s="1"/>
  <c r="F458" i="3"/>
  <c r="G458" i="3"/>
  <c r="V458" i="3" l="1"/>
  <c r="A459" i="3"/>
  <c r="B459" i="3" s="1"/>
  <c r="I458" i="3"/>
  <c r="J458" i="3"/>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AD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AD468" i="3"/>
  <c r="I467" i="3"/>
  <c r="W467" i="3" s="1"/>
  <c r="J467" i="3"/>
  <c r="M467" i="3"/>
  <c r="N467" i="3" s="1"/>
  <c r="L467" i="3" l="1"/>
  <c r="T468" i="3"/>
  <c r="U467" i="3" l="1"/>
  <c r="D468" i="3" s="1"/>
  <c r="AH468" i="3"/>
  <c r="AG468" i="3"/>
  <c r="Y466" i="3"/>
  <c r="E468" i="3" l="1"/>
  <c r="H468" i="3" s="1"/>
  <c r="K468" i="3" s="1"/>
  <c r="AE468" i="3" s="1"/>
  <c r="G468" i="3"/>
  <c r="F468" i="3" l="1"/>
  <c r="I468" i="3"/>
  <c r="J468" i="3"/>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D477" i="3"/>
  <c r="AC477" i="3"/>
  <c r="Z477" i="3"/>
  <c r="U476" i="3" l="1"/>
  <c r="Y475" i="3"/>
  <c r="T477" i="3"/>
  <c r="D477" i="3" l="1"/>
  <c r="G477" i="3" s="1"/>
  <c r="AG477" i="3"/>
  <c r="E477" i="3"/>
  <c r="H477" i="3" s="1"/>
  <c r="K477" i="3" s="1"/>
  <c r="AE477" i="3" s="1"/>
  <c r="AH477" i="3"/>
  <c r="F477" i="3" l="1"/>
  <c r="V477" i="3"/>
  <c r="A478" i="3"/>
  <c r="B478" i="3" s="1"/>
  <c r="I477" i="3"/>
  <c r="J477" i="3"/>
  <c r="M477" i="3"/>
  <c r="N477" i="3" s="1"/>
  <c r="W477" i="3" l="1"/>
  <c r="L477" i="3"/>
  <c r="AA478" i="3"/>
  <c r="AD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AD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M487" i="3"/>
  <c r="N487" i="3" s="1"/>
  <c r="AA488" i="3"/>
  <c r="AD488" i="3"/>
  <c r="Z488" i="3"/>
  <c r="P488" i="3"/>
  <c r="Q488" i="3" s="1"/>
  <c r="R488" i="3" s="1"/>
  <c r="S488" i="3" s="1"/>
  <c r="AC488" i="3"/>
  <c r="L487" i="3" l="1"/>
  <c r="T488" i="3"/>
  <c r="U487" i="3" l="1"/>
  <c r="D488" i="3" s="1"/>
  <c r="AG488" i="3"/>
  <c r="AH488" i="3"/>
  <c r="Y486" i="3"/>
  <c r="E488" i="3" l="1"/>
  <c r="H488" i="3" s="1"/>
  <c r="K488" i="3" s="1"/>
  <c r="AE488" i="3" s="1"/>
  <c r="G488" i="3"/>
  <c r="F488" i="3" l="1"/>
  <c r="I488" i="3"/>
  <c r="J488" i="3"/>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AD497" i="3"/>
  <c r="Z497" i="3"/>
  <c r="U496" i="3" l="1"/>
  <c r="Y495" i="3"/>
  <c r="T497" i="3"/>
  <c r="AG497" i="3" s="1"/>
  <c r="E497" i="3" l="1"/>
  <c r="H497" i="3" s="1"/>
  <c r="D497" i="3"/>
  <c r="AH497" i="3"/>
  <c r="F497" i="3" l="1"/>
  <c r="G497" i="3"/>
  <c r="K497" i="3"/>
  <c r="AE497" i="3" s="1"/>
  <c r="I497" i="3" l="1"/>
  <c r="J497" i="3"/>
  <c r="M497" i="3"/>
  <c r="N497" i="3" s="1"/>
  <c r="V497" i="3"/>
  <c r="A498" i="3"/>
  <c r="B498" i="3" s="1"/>
  <c r="W497" i="3" l="1"/>
  <c r="L497" i="3"/>
  <c r="Z498" i="3"/>
  <c r="AC498" i="3"/>
  <c r="AD498" i="3"/>
  <c r="AA498" i="3"/>
  <c r="P498" i="3"/>
  <c r="Q498" i="3" s="1"/>
  <c r="R498" i="3" s="1"/>
  <c r="S498" i="3" s="1"/>
  <c r="U497" i="3" l="1"/>
  <c r="Y496" i="3"/>
  <c r="T498" i="3"/>
  <c r="AH498" i="3" s="1"/>
  <c r="AG498" i="3" l="1"/>
  <c r="D498" i="3"/>
  <c r="E498" i="3"/>
  <c r="H498" i="3" s="1"/>
  <c r="F498" i="3" l="1"/>
  <c r="G498" i="3"/>
  <c r="K498" i="3"/>
  <c r="AE498" i="3" s="1"/>
  <c r="I498" i="3" l="1"/>
  <c r="J498" i="3"/>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D507" i="3"/>
  <c r="AC507" i="3"/>
  <c r="P507" i="3"/>
  <c r="Q507" i="3" s="1"/>
  <c r="R507" i="3" s="1"/>
  <c r="S507" i="3" s="1"/>
  <c r="AA507" i="3"/>
  <c r="Z507" i="3"/>
  <c r="U506" i="3" l="1"/>
  <c r="Y505" i="3"/>
  <c r="T507" i="3"/>
  <c r="AH507" i="3" s="1"/>
  <c r="AG507" i="3" l="1"/>
  <c r="E507" i="3"/>
  <c r="H507" i="3" s="1"/>
  <c r="D507" i="3"/>
  <c r="K507" i="3" l="1"/>
  <c r="AE507" i="3" s="1"/>
  <c r="F507" i="3"/>
  <c r="G507" i="3"/>
  <c r="I507" i="3" l="1"/>
  <c r="J507" i="3"/>
  <c r="M507" i="3"/>
  <c r="N507" i="3" s="1"/>
  <c r="V507" i="3"/>
  <c r="A508" i="3"/>
  <c r="B508" i="3" s="1"/>
  <c r="W507" i="3" l="1"/>
  <c r="L507" i="3"/>
  <c r="P508" i="3"/>
  <c r="Q508" i="3" s="1"/>
  <c r="R508" i="3" s="1"/>
  <c r="S508" i="3" s="1"/>
  <c r="AD508" i="3"/>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D517" i="3"/>
  <c r="AC517" i="3"/>
  <c r="P517" i="3"/>
  <c r="Q517" i="3" s="1"/>
  <c r="R517" i="3" s="1"/>
  <c r="S517" i="3" s="1"/>
  <c r="AA517" i="3"/>
  <c r="Z517" i="3"/>
  <c r="U516" i="3" l="1"/>
  <c r="Y515" i="3"/>
  <c r="T517" i="3"/>
  <c r="AG517" i="3" s="1"/>
  <c r="D517" i="3" l="1"/>
  <c r="G517" i="3" s="1"/>
  <c r="AH517" i="3"/>
  <c r="E517" i="3"/>
  <c r="H517" i="3" s="1"/>
  <c r="K517" i="3" s="1"/>
  <c r="AE517" i="3" s="1"/>
  <c r="F517" i="3" l="1"/>
  <c r="I517" i="3"/>
  <c r="J517" i="3"/>
  <c r="M517" i="3"/>
  <c r="N517" i="3" s="1"/>
  <c r="V517" i="3"/>
  <c r="A518" i="3"/>
  <c r="B518" i="3" s="1"/>
  <c r="W517" i="3" l="1"/>
  <c r="L517" i="3"/>
  <c r="AD518" i="3"/>
  <c r="AA518" i="3"/>
  <c r="AC518" i="3"/>
  <c r="Z518" i="3"/>
  <c r="P518" i="3"/>
  <c r="Q518" i="3" s="1"/>
  <c r="R518" i="3" s="1"/>
  <c r="S518" i="3" s="1"/>
  <c r="U517" i="3" l="1"/>
  <c r="Y516" i="3"/>
  <c r="T518" i="3"/>
  <c r="D518" i="3" l="1"/>
  <c r="G518" i="3" s="1"/>
  <c r="E518" i="3"/>
  <c r="H518" i="3" s="1"/>
  <c r="AH518" i="3"/>
  <c r="AG518" i="3"/>
  <c r="F518" i="3" l="1"/>
  <c r="I518" i="3"/>
  <c r="J518" i="3"/>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Z525" i="3"/>
  <c r="P525" i="3"/>
  <c r="Q525" i="3" s="1"/>
  <c r="R525" i="3" s="1"/>
  <c r="S525" i="3" s="1"/>
  <c r="T525" i="3" l="1"/>
  <c r="AH525" i="3" s="1"/>
  <c r="U524" i="3"/>
  <c r="Y523" i="3"/>
  <c r="AG525" i="3" l="1"/>
  <c r="D525" i="3"/>
  <c r="E525" i="3"/>
  <c r="H525" i="3" s="1"/>
  <c r="F525" i="3" l="1"/>
  <c r="G525" i="3"/>
  <c r="K525" i="3"/>
  <c r="AE525" i="3" s="1"/>
  <c r="I525" i="3" l="1"/>
  <c r="J525" i="3"/>
  <c r="AD525" i="3" s="1"/>
  <c r="M525" i="3"/>
  <c r="N525" i="3" s="1"/>
  <c r="V525" i="3"/>
  <c r="A526" i="3"/>
  <c r="B526" i="3" s="1"/>
  <c r="L525" i="3" l="1"/>
  <c r="W525" i="3"/>
  <c r="AA526" i="3"/>
  <c r="P526" i="3"/>
  <c r="Q526" i="3" s="1"/>
  <c r="R526" i="3" s="1"/>
  <c r="S526" i="3" s="1"/>
  <c r="Z526" i="3"/>
  <c r="AC526" i="3"/>
  <c r="T526" i="3" l="1"/>
  <c r="U525" i="3"/>
  <c r="Y524" i="3"/>
  <c r="D526" i="3" l="1"/>
  <c r="G526" i="3" s="1"/>
  <c r="AH526" i="3"/>
  <c r="E526" i="3"/>
  <c r="H526" i="3" s="1"/>
  <c r="K526" i="3" s="1"/>
  <c r="AE526" i="3" s="1"/>
  <c r="AG526" i="3"/>
  <c r="F526" i="3" l="1"/>
  <c r="V526" i="3"/>
  <c r="A527" i="3"/>
  <c r="B527" i="3" s="1"/>
  <c r="I526" i="3"/>
  <c r="J526" i="3"/>
  <c r="AD526" i="3" s="1"/>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P529" i="3"/>
  <c r="Q529" i="3" s="1"/>
  <c r="R529" i="3" s="1"/>
  <c r="S529" i="3" s="1"/>
  <c r="AA529" i="3"/>
  <c r="L528" i="3" l="1"/>
  <c r="AD528" i="3"/>
  <c r="U528" i="3"/>
  <c r="Y527" i="3"/>
  <c r="T529" i="3"/>
  <c r="AG529" i="3" s="1"/>
  <c r="D529" i="3" l="1"/>
  <c r="G529" i="3" s="1"/>
  <c r="AH529" i="3"/>
  <c r="E529" i="3"/>
  <c r="H529" i="3" s="1"/>
  <c r="K529" i="3" s="1"/>
  <c r="AE529" i="3" s="1"/>
  <c r="F529" i="3" l="1"/>
  <c r="I529" i="3"/>
  <c r="J529" i="3"/>
  <c r="AD529" i="3" s="1"/>
  <c r="M529" i="3"/>
  <c r="N529" i="3" s="1"/>
  <c r="V529" i="3"/>
  <c r="A530" i="3"/>
  <c r="B530" i="3" s="1"/>
  <c r="W529" i="3" l="1"/>
  <c r="L529" i="3"/>
  <c r="Z530" i="3"/>
  <c r="P530" i="3"/>
  <c r="Q530" i="3" s="1"/>
  <c r="R530" i="3" s="1"/>
  <c r="S530" i="3" s="1"/>
  <c r="AC530" i="3"/>
  <c r="AA530" i="3"/>
  <c r="T530" i="3" l="1"/>
  <c r="AG530" i="3" s="1"/>
  <c r="U529" i="3"/>
  <c r="Y528" i="3"/>
  <c r="D530" i="3" l="1"/>
  <c r="G530" i="3" s="1"/>
  <c r="AH530" i="3"/>
  <c r="E530" i="3"/>
  <c r="H530" i="3" s="1"/>
  <c r="F530" i="3" l="1"/>
  <c r="I530" i="3"/>
  <c r="J530" i="3"/>
  <c r="AD530" i="3" s="1"/>
  <c r="M530" i="3"/>
  <c r="N530" i="3" s="1"/>
  <c r="K530" i="3"/>
  <c r="AE530" i="3" s="1"/>
  <c r="V530" i="3" l="1"/>
  <c r="W530" i="3" s="1"/>
  <c r="A531" i="3"/>
  <c r="B531" i="3" s="1"/>
  <c r="L530" i="3"/>
  <c r="U530" i="3" l="1"/>
  <c r="Y529" i="3"/>
  <c r="Z531" i="3"/>
  <c r="AC531" i="3"/>
  <c r="AA531" i="3"/>
  <c r="P531" i="3"/>
  <c r="Q531" i="3" s="1"/>
  <c r="R531" i="3" s="1"/>
  <c r="S531" i="3" s="1"/>
  <c r="T531" i="3" l="1"/>
  <c r="AG531" i="3" s="1"/>
  <c r="AH531" i="3" l="1"/>
  <c r="D531" i="3"/>
  <c r="E531" i="3"/>
  <c r="H531" i="3" s="1"/>
  <c r="K531" i="3" l="1"/>
  <c r="AE531" i="3" s="1"/>
  <c r="F531" i="3"/>
  <c r="G531" i="3"/>
  <c r="I531" i="3" l="1"/>
  <c r="J531" i="3"/>
  <c r="AD531" i="3" s="1"/>
  <c r="M531" i="3"/>
  <c r="N531" i="3" s="1"/>
  <c r="V531" i="3"/>
  <c r="A532" i="3"/>
  <c r="B532" i="3" s="1"/>
  <c r="W531" i="3" l="1"/>
  <c r="L531"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AD532" i="3" s="1"/>
  <c r="M532" i="3"/>
  <c r="N532" i="3" s="1"/>
  <c r="W532" i="3" l="1"/>
  <c r="L532" i="3"/>
  <c r="P533" i="3"/>
  <c r="Q533" i="3" s="1"/>
  <c r="R533" i="3" s="1"/>
  <c r="S533" i="3" s="1"/>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AD533" i="3" s="1"/>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D537" i="3"/>
  <c r="AA537" i="3"/>
  <c r="U536" i="3" l="1"/>
  <c r="Y535" i="3"/>
  <c r="T537" i="3"/>
  <c r="AH537" i="3" s="1"/>
  <c r="AG537" i="3" l="1"/>
  <c r="E537" i="3"/>
  <c r="H537" i="3" s="1"/>
  <c r="D537" i="3"/>
  <c r="K537" i="3" l="1"/>
  <c r="AE537" i="3" s="1"/>
  <c r="F537" i="3"/>
  <c r="G537" i="3"/>
  <c r="I537" i="3" l="1"/>
  <c r="J537" i="3"/>
  <c r="M537" i="3"/>
  <c r="N537" i="3" s="1"/>
  <c r="V537" i="3"/>
  <c r="A538" i="3"/>
  <c r="B538" i="3" s="1"/>
  <c r="W537" i="3" l="1"/>
  <c r="L537" i="3"/>
  <c r="AA538" i="3"/>
  <c r="AC538" i="3"/>
  <c r="AD538" i="3"/>
  <c r="Z538" i="3"/>
  <c r="P538" i="3"/>
  <c r="Q538" i="3" s="1"/>
  <c r="R538" i="3" s="1"/>
  <c r="S538" i="3" s="1"/>
  <c r="T538" i="3" l="1"/>
  <c r="U537" i="3"/>
  <c r="Y536" i="3"/>
  <c r="D538" i="3" l="1"/>
  <c r="G538" i="3" s="1"/>
  <c r="AH538" i="3"/>
  <c r="AG538" i="3"/>
  <c r="E538" i="3"/>
  <c r="H538" i="3" s="1"/>
  <c r="F538" i="3" l="1"/>
  <c r="I538" i="3"/>
  <c r="J538" i="3"/>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D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M545" i="3"/>
  <c r="N545" i="3" s="1"/>
  <c r="AC546" i="3"/>
  <c r="P546" i="3"/>
  <c r="Q546" i="3" s="1"/>
  <c r="R546" i="3" s="1"/>
  <c r="S546" i="3" s="1"/>
  <c r="Z546" i="3"/>
  <c r="AA546" i="3"/>
  <c r="AD546" i="3"/>
  <c r="T546" i="3" l="1"/>
  <c r="L545" i="3"/>
  <c r="U545" i="3" l="1"/>
  <c r="D546" i="3" s="1"/>
  <c r="AG546" i="3"/>
  <c r="AH546" i="3"/>
  <c r="Y544" i="3"/>
  <c r="E546" i="3" l="1"/>
  <c r="H546" i="3" s="1"/>
  <c r="K546" i="3" s="1"/>
  <c r="AE546" i="3" s="1"/>
  <c r="G546" i="3"/>
  <c r="F546" i="3" l="1"/>
  <c r="V546" i="3"/>
  <c r="A547" i="3"/>
  <c r="B547" i="3" s="1"/>
  <c r="I546" i="3"/>
  <c r="J546" i="3"/>
  <c r="M546" i="3"/>
  <c r="N546" i="3" s="1"/>
  <c r="W546" i="3" l="1"/>
  <c r="L546" i="3"/>
  <c r="AC547" i="3"/>
  <c r="AD547" i="3"/>
  <c r="P547" i="3"/>
  <c r="Q547" i="3" s="1"/>
  <c r="R547" i="3" s="1"/>
  <c r="S547" i="3" s="1"/>
  <c r="AA547" i="3"/>
  <c r="Z547" i="3"/>
  <c r="U546" i="3" l="1"/>
  <c r="Y545" i="3"/>
  <c r="T547" i="3"/>
  <c r="AG547" i="3" s="1"/>
  <c r="E547" i="3" l="1"/>
  <c r="H547" i="3" s="1"/>
  <c r="K547" i="3" s="1"/>
  <c r="AE547" i="3" s="1"/>
  <c r="D547" i="3"/>
  <c r="G547" i="3" s="1"/>
  <c r="AH547" i="3"/>
  <c r="F547" i="3" l="1"/>
  <c r="I547" i="3"/>
  <c r="J547" i="3"/>
  <c r="M547" i="3"/>
  <c r="N547" i="3" s="1"/>
  <c r="V547" i="3"/>
  <c r="A548" i="3"/>
  <c r="B548" i="3" s="1"/>
  <c r="W547" i="3" l="1"/>
  <c r="L547" i="3"/>
  <c r="Z548" i="3"/>
  <c r="AA548" i="3"/>
  <c r="P548" i="3"/>
  <c r="Q548" i="3" s="1"/>
  <c r="R548" i="3" s="1"/>
  <c r="S548" i="3" s="1"/>
  <c r="AC548" i="3"/>
  <c r="AD548" i="3"/>
  <c r="U547" i="3" l="1"/>
  <c r="Y546" i="3"/>
  <c r="T548" i="3"/>
  <c r="E548" i="3" l="1"/>
  <c r="H548" i="3" s="1"/>
  <c r="K548" i="3" s="1"/>
  <c r="AE548" i="3" s="1"/>
  <c r="D548" i="3"/>
  <c r="AG548" i="3"/>
  <c r="AH548" i="3"/>
  <c r="V548" i="3" l="1"/>
  <c r="A549" i="3"/>
  <c r="B549" i="3" s="1"/>
  <c r="F548" i="3"/>
  <c r="G548" i="3"/>
  <c r="I548" i="3" l="1"/>
  <c r="W548" i="3" s="1"/>
  <c r="J548" i="3"/>
  <c r="M548" i="3"/>
  <c r="N548" i="3" s="1"/>
  <c r="P549" i="3"/>
  <c r="Q549" i="3" s="1"/>
  <c r="R549" i="3" s="1"/>
  <c r="S549" i="3" s="1"/>
  <c r="AC549" i="3"/>
  <c r="AA549" i="3"/>
  <c r="Z549" i="3"/>
  <c r="AD549" i="3"/>
  <c r="T549" i="3" l="1"/>
  <c r="L548" i="3"/>
  <c r="AH549" i="3" l="1"/>
  <c r="U548" i="3"/>
  <c r="E549" i="3" s="1"/>
  <c r="H549" i="3" s="1"/>
  <c r="AG549" i="3"/>
  <c r="Y547" i="3"/>
  <c r="K549" i="3" l="1"/>
  <c r="AE549" i="3" s="1"/>
  <c r="D549" i="3"/>
  <c r="V549" i="3" l="1"/>
  <c r="A550" i="3"/>
  <c r="B550" i="3" s="1"/>
  <c r="F549" i="3"/>
  <c r="G549" i="3"/>
  <c r="I549" i="3" l="1"/>
  <c r="W549" i="3" s="1"/>
  <c r="J549" i="3"/>
  <c r="M549" i="3"/>
  <c r="N549" i="3" s="1"/>
  <c r="P550" i="3"/>
  <c r="Q550" i="3" s="1"/>
  <c r="R550" i="3" s="1"/>
  <c r="S550" i="3" s="1"/>
  <c r="AA550" i="3"/>
  <c r="AC550" i="3"/>
  <c r="Z550" i="3"/>
  <c r="AD550" i="3"/>
  <c r="T550" i="3" l="1"/>
  <c r="L549" i="3"/>
  <c r="U549" i="3" l="1"/>
  <c r="D550" i="3" s="1"/>
  <c r="AH550" i="3"/>
  <c r="AG550" i="3"/>
  <c r="Y548" i="3"/>
  <c r="E550" i="3" l="1"/>
  <c r="H550" i="3" s="1"/>
  <c r="K550" i="3" s="1"/>
  <c r="AE550" i="3" s="1"/>
  <c r="G550" i="3"/>
  <c r="F550" i="3" l="1"/>
  <c r="I550" i="3"/>
  <c r="J550" i="3"/>
  <c r="M550" i="3"/>
  <c r="N550" i="3" s="1"/>
  <c r="V550" i="3"/>
  <c r="A551" i="3"/>
  <c r="B551" i="3" s="1"/>
  <c r="W550" i="3" l="1"/>
  <c r="L550" i="3"/>
  <c r="AD551" i="3"/>
  <c r="P551" i="3"/>
  <c r="Q551" i="3" s="1"/>
  <c r="R551" i="3" s="1"/>
  <c r="S551" i="3" s="1"/>
  <c r="AC551" i="3"/>
  <c r="AA551" i="3"/>
  <c r="Z551" i="3"/>
  <c r="T551" i="3" l="1"/>
  <c r="AG551" i="3" s="1"/>
  <c r="U550" i="3"/>
  <c r="Y549" i="3"/>
  <c r="D551" i="3" l="1"/>
  <c r="G551" i="3" s="1"/>
  <c r="AH551" i="3"/>
  <c r="E551" i="3"/>
  <c r="H551" i="3" s="1"/>
  <c r="F551" i="3" l="1"/>
  <c r="I551" i="3"/>
  <c r="J551" i="3"/>
  <c r="M551" i="3"/>
  <c r="N551" i="3" s="1"/>
  <c r="K551" i="3"/>
  <c r="AE551" i="3" s="1"/>
  <c r="V551" i="3" l="1"/>
  <c r="W551" i="3" s="1"/>
  <c r="A552" i="3"/>
  <c r="B552" i="3" s="1"/>
  <c r="L551" i="3"/>
  <c r="U551" i="3" l="1"/>
  <c r="Y550" i="3"/>
  <c r="AA552" i="3"/>
  <c r="P552" i="3"/>
  <c r="Q552" i="3" s="1"/>
  <c r="R552" i="3" s="1"/>
  <c r="S552" i="3" s="1"/>
  <c r="AC552" i="3"/>
  <c r="Z552" i="3"/>
  <c r="AD552" i="3"/>
  <c r="T552" i="3" l="1"/>
  <c r="D552" i="3" s="1"/>
  <c r="AG552" i="3" l="1"/>
  <c r="AH552" i="3"/>
  <c r="E552" i="3"/>
  <c r="H552" i="3" s="1"/>
  <c r="K552" i="3" s="1"/>
  <c r="AE552" i="3" s="1"/>
  <c r="G552" i="3"/>
  <c r="F552" i="3" l="1"/>
  <c r="I552" i="3"/>
  <c r="J552" i="3"/>
  <c r="M552" i="3"/>
  <c r="N552" i="3" s="1"/>
  <c r="V552" i="3"/>
  <c r="A553" i="3"/>
  <c r="B553" i="3" s="1"/>
  <c r="W552" i="3" l="1"/>
  <c r="L552" i="3"/>
  <c r="P553" i="3"/>
  <c r="Q553" i="3" s="1"/>
  <c r="R553" i="3" s="1"/>
  <c r="S553" i="3" s="1"/>
  <c r="Z553" i="3"/>
  <c r="AC553" i="3"/>
  <c r="AA553" i="3"/>
  <c r="AD553" i="3"/>
  <c r="T553" i="3" l="1"/>
  <c r="U552" i="3"/>
  <c r="Y551" i="3"/>
  <c r="D553" i="3" l="1"/>
  <c r="G553" i="3" s="1"/>
  <c r="AH553" i="3"/>
  <c r="AG553" i="3"/>
  <c r="E553" i="3"/>
  <c r="H553" i="3" s="1"/>
  <c r="K553" i="3" l="1"/>
  <c r="AE553" i="3" s="1"/>
  <c r="F553" i="3"/>
  <c r="I553" i="3"/>
  <c r="J553" i="3"/>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AD555" i="3"/>
  <c r="L554" i="3" l="1"/>
  <c r="T555" i="3"/>
  <c r="U554" i="3" l="1"/>
  <c r="E555" i="3" s="1"/>
  <c r="H555" i="3" s="1"/>
  <c r="AG555" i="3"/>
  <c r="AH555" i="3"/>
  <c r="Y553" i="3"/>
  <c r="K555" i="3" l="1"/>
  <c r="AE555" i="3" s="1"/>
  <c r="D555" i="3"/>
  <c r="F555" i="3" l="1"/>
  <c r="G555" i="3"/>
  <c r="V555" i="3"/>
  <c r="A556" i="3"/>
  <c r="B556" i="3" s="1"/>
  <c r="P556" i="3" l="1"/>
  <c r="Q556" i="3" s="1"/>
  <c r="R556" i="3" s="1"/>
  <c r="S556" i="3" s="1"/>
  <c r="AA556" i="3"/>
  <c r="AD556" i="3"/>
  <c r="Z556" i="3"/>
  <c r="AC556" i="3"/>
  <c r="I555" i="3"/>
  <c r="W555" i="3" s="1"/>
  <c r="J555" i="3"/>
  <c r="M555" i="3"/>
  <c r="N555" i="3" s="1"/>
  <c r="T556" i="3" l="1"/>
  <c r="L555" i="3"/>
  <c r="AH556" i="3" l="1"/>
  <c r="U555" i="3"/>
  <c r="D556" i="3" s="1"/>
  <c r="AG556" i="3"/>
  <c r="Y554" i="3"/>
  <c r="E556" i="3" l="1"/>
  <c r="H556" i="3" s="1"/>
  <c r="K556" i="3" s="1"/>
  <c r="AE556" i="3" s="1"/>
  <c r="G556" i="3"/>
  <c r="F556" i="3" l="1"/>
  <c r="I556" i="3"/>
  <c r="J556" i="3"/>
  <c r="M556" i="3"/>
  <c r="N556" i="3" s="1"/>
  <c r="V556" i="3"/>
  <c r="A557" i="3"/>
  <c r="B557" i="3" s="1"/>
  <c r="W556" i="3" l="1"/>
  <c r="L556" i="3"/>
  <c r="AD557" i="3"/>
  <c r="P557" i="3"/>
  <c r="Q557" i="3" s="1"/>
  <c r="R557" i="3" s="1"/>
  <c r="S557" i="3" s="1"/>
  <c r="AA557" i="3"/>
  <c r="AC557" i="3"/>
  <c r="Z557" i="3"/>
  <c r="U556" i="3" l="1"/>
  <c r="Y555" i="3"/>
  <c r="T557" i="3"/>
  <c r="AH557" i="3" s="1"/>
  <c r="D557" i="3" l="1"/>
  <c r="G557" i="3" s="1"/>
  <c r="AG557" i="3"/>
  <c r="E557" i="3"/>
  <c r="H557" i="3" s="1"/>
  <c r="K557" i="3" s="1"/>
  <c r="AE557" i="3" s="1"/>
  <c r="F557" i="3" l="1"/>
  <c r="I557" i="3"/>
  <c r="J557" i="3"/>
  <c r="M557" i="3"/>
  <c r="N557" i="3" s="1"/>
  <c r="V557" i="3"/>
  <c r="A558" i="3"/>
  <c r="B558" i="3" s="1"/>
  <c r="W557" i="3" l="1"/>
  <c r="L557" i="3"/>
  <c r="AA558" i="3"/>
  <c r="AD558" i="3"/>
  <c r="P558" i="3"/>
  <c r="Q558" i="3" s="1"/>
  <c r="R558" i="3" s="1"/>
  <c r="S558" i="3" s="1"/>
  <c r="Z558" i="3"/>
  <c r="AC558" i="3"/>
  <c r="T558" i="3" l="1"/>
  <c r="AG558" i="3" s="1"/>
  <c r="U557" i="3"/>
  <c r="Y556" i="3"/>
  <c r="E558" i="3" l="1"/>
  <c r="H558" i="3" s="1"/>
  <c r="AH558" i="3"/>
  <c r="D558" i="3"/>
  <c r="F558" i="3" l="1"/>
  <c r="G558" i="3"/>
  <c r="K558" i="3"/>
  <c r="AE558" i="3" s="1"/>
  <c r="I558" i="3" l="1"/>
  <c r="J558" i="3"/>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AD565" i="3"/>
  <c r="U564" i="3" l="1"/>
  <c r="Y563" i="3"/>
  <c r="T565" i="3"/>
  <c r="E565" i="3" l="1"/>
  <c r="H565" i="3" s="1"/>
  <c r="K565" i="3" s="1"/>
  <c r="AE565" i="3" s="1"/>
  <c r="D565" i="3"/>
  <c r="AG565" i="3"/>
  <c r="AH565" i="3"/>
  <c r="V565" i="3" l="1"/>
  <c r="A566" i="3"/>
  <c r="B566" i="3" s="1"/>
  <c r="F565" i="3"/>
  <c r="G565" i="3"/>
  <c r="I565" i="3" l="1"/>
  <c r="W565" i="3" s="1"/>
  <c r="J565" i="3"/>
  <c r="M565" i="3"/>
  <c r="N565" i="3" s="1"/>
  <c r="AD566" i="3"/>
  <c r="Z566" i="3"/>
  <c r="AA566" i="3"/>
  <c r="P566" i="3"/>
  <c r="Q566" i="3" s="1"/>
  <c r="R566" i="3" s="1"/>
  <c r="S566" i="3" s="1"/>
  <c r="AC566" i="3"/>
  <c r="L565" i="3" l="1"/>
  <c r="T566" i="3"/>
  <c r="AG566" i="3" l="1"/>
  <c r="AH566" i="3"/>
  <c r="U565" i="3"/>
  <c r="D566" i="3" s="1"/>
  <c r="Y564" i="3"/>
  <c r="G566" i="3" l="1"/>
  <c r="E566" i="3"/>
  <c r="H566" i="3" s="1"/>
  <c r="F566" i="3" l="1"/>
  <c r="I566" i="3"/>
  <c r="J566" i="3"/>
  <c r="M566" i="3"/>
  <c r="N566" i="3" s="1"/>
  <c r="K566" i="3"/>
  <c r="AE566" i="3" s="1"/>
  <c r="V566" i="3" l="1"/>
  <c r="W566" i="3" s="1"/>
  <c r="A567" i="3"/>
  <c r="B567" i="3" s="1"/>
  <c r="L566" i="3"/>
  <c r="U566" i="3" l="1"/>
  <c r="Y565" i="3"/>
  <c r="P567" i="3"/>
  <c r="Q567" i="3" s="1"/>
  <c r="R567" i="3" s="1"/>
  <c r="S567" i="3" s="1"/>
  <c r="AA567" i="3"/>
  <c r="AD567" i="3"/>
  <c r="Z567" i="3"/>
  <c r="AC567" i="3"/>
  <c r="T567" i="3" l="1"/>
  <c r="AG567" i="3" s="1"/>
  <c r="AH567" i="3" l="1"/>
  <c r="E567" i="3"/>
  <c r="H567" i="3" s="1"/>
  <c r="K567" i="3" s="1"/>
  <c r="AE567" i="3" s="1"/>
  <c r="D567" i="3"/>
  <c r="G567" i="3" s="1"/>
  <c r="F567" i="3" l="1"/>
  <c r="I567" i="3"/>
  <c r="J567" i="3"/>
  <c r="M567" i="3"/>
  <c r="N567" i="3" s="1"/>
  <c r="V567" i="3"/>
  <c r="A568" i="3"/>
  <c r="B568" i="3" s="1"/>
  <c r="W567" i="3" l="1"/>
  <c r="L567" i="3"/>
  <c r="AC568" i="3"/>
  <c r="AD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M568" i="3"/>
  <c r="N568" i="3" s="1"/>
  <c r="L568" i="3" l="1"/>
  <c r="W568" i="3"/>
  <c r="AA569" i="3"/>
  <c r="AD569" i="3"/>
  <c r="P569" i="3"/>
  <c r="Q569" i="3" s="1"/>
  <c r="R569" i="3" s="1"/>
  <c r="S569" i="3" s="1"/>
  <c r="AC569" i="3"/>
  <c r="Z569" i="3"/>
  <c r="T569" i="3" l="1"/>
  <c r="AH569" i="3" s="1"/>
  <c r="U568" i="3"/>
  <c r="Y567" i="3"/>
  <c r="D569" i="3" l="1"/>
  <c r="G569" i="3" s="1"/>
  <c r="AG569" i="3"/>
  <c r="E569" i="3"/>
  <c r="H569" i="3" s="1"/>
  <c r="F569" i="3" l="1"/>
  <c r="I569" i="3"/>
  <c r="J569" i="3"/>
  <c r="M569" i="3"/>
  <c r="N569" i="3" s="1"/>
  <c r="K569" i="3"/>
  <c r="AE569" i="3" s="1"/>
  <c r="L569" i="3" l="1"/>
  <c r="V569" i="3"/>
  <c r="W569" i="3" s="1"/>
  <c r="A570" i="3"/>
  <c r="B570" i="3" s="1"/>
  <c r="AC570" i="3" l="1"/>
  <c r="P570" i="3"/>
  <c r="Q570" i="3" s="1"/>
  <c r="R570" i="3" s="1"/>
  <c r="S570" i="3" s="1"/>
  <c r="AD570" i="3"/>
  <c r="Z570" i="3"/>
  <c r="AA570" i="3"/>
  <c r="U569" i="3"/>
  <c r="Y568" i="3"/>
  <c r="T570" i="3" l="1"/>
  <c r="D570" i="3" l="1"/>
  <c r="E570" i="3"/>
  <c r="H570" i="3" s="1"/>
  <c r="AG570" i="3"/>
  <c r="AH570" i="3"/>
  <c r="F570" i="3" l="1"/>
  <c r="G570" i="3"/>
  <c r="K570" i="3"/>
  <c r="AE570" i="3" s="1"/>
  <c r="V570" i="3" l="1"/>
  <c r="A571" i="3"/>
  <c r="B571" i="3" s="1"/>
  <c r="I570" i="3"/>
  <c r="J570" i="3"/>
  <c r="M570" i="3"/>
  <c r="N570" i="3" s="1"/>
  <c r="W570" i="3" l="1"/>
  <c r="L570" i="3"/>
  <c r="P571" i="3"/>
  <c r="Q571" i="3" s="1"/>
  <c r="R571" i="3" s="1"/>
  <c r="S571" i="3" s="1"/>
  <c r="AD571" i="3"/>
  <c r="AA571" i="3"/>
  <c r="Z571" i="3"/>
  <c r="AC571" i="3"/>
  <c r="U570" i="3" l="1"/>
  <c r="Y569" i="3"/>
  <c r="T571" i="3"/>
  <c r="D571" i="3" l="1"/>
  <c r="G571" i="3" s="1"/>
  <c r="AG571" i="3"/>
  <c r="AH571" i="3"/>
  <c r="E571" i="3"/>
  <c r="H571" i="3" s="1"/>
  <c r="K571" i="3" s="1"/>
  <c r="AE571" i="3" s="1"/>
  <c r="F571" i="3" l="1"/>
  <c r="V571" i="3"/>
  <c r="A572" i="3"/>
  <c r="B572" i="3" s="1"/>
  <c r="I571" i="3"/>
  <c r="J571" i="3"/>
  <c r="M571" i="3"/>
  <c r="N571" i="3" s="1"/>
  <c r="W571" i="3" l="1"/>
  <c r="L571" i="3"/>
  <c r="AC572" i="3"/>
  <c r="AD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M572" i="3"/>
  <c r="N572" i="3" s="1"/>
  <c r="W572" i="3" l="1"/>
  <c r="L572" i="3"/>
  <c r="P573" i="3"/>
  <c r="Q573" i="3" s="1"/>
  <c r="R573" i="3" s="1"/>
  <c r="S573" i="3" s="1"/>
  <c r="Z573" i="3"/>
  <c r="AC573" i="3"/>
  <c r="AA573" i="3"/>
  <c r="AD573" i="3"/>
  <c r="U572" i="3" l="1"/>
  <c r="Y571" i="3"/>
  <c r="T573" i="3"/>
  <c r="E573" i="3" l="1"/>
  <c r="H573" i="3" s="1"/>
  <c r="K573" i="3" s="1"/>
  <c r="AE573" i="3" s="1"/>
  <c r="D573" i="3"/>
  <c r="AH573" i="3"/>
  <c r="AG573" i="3"/>
  <c r="F573" i="3" l="1"/>
  <c r="G573" i="3"/>
  <c r="I573" i="3" s="1"/>
  <c r="V573" i="3"/>
  <c r="A574" i="3"/>
  <c r="B574" i="3" s="1"/>
  <c r="J573" i="3" l="1"/>
  <c r="L573" i="3" s="1"/>
  <c r="M573" i="3"/>
  <c r="N573" i="3" s="1"/>
  <c r="W573" i="3"/>
  <c r="AA574" i="3"/>
  <c r="Z574" i="3"/>
  <c r="P574" i="3"/>
  <c r="Q574" i="3" s="1"/>
  <c r="R574" i="3" s="1"/>
  <c r="S574" i="3" s="1"/>
  <c r="AC574" i="3"/>
  <c r="U573" i="3" l="1"/>
  <c r="Y572" i="3"/>
  <c r="T574" i="3"/>
  <c r="AH574" i="3" s="1"/>
  <c r="D574" i="3" l="1"/>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AD575" i="3"/>
  <c r="T575" i="3" l="1"/>
  <c r="AH575" i="3" s="1"/>
  <c r="AG575" i="3" l="1"/>
  <c r="E575" i="3"/>
  <c r="H575" i="3" s="1"/>
  <c r="D575" i="3"/>
  <c r="K575" i="3" l="1"/>
  <c r="AE575" i="3" s="1"/>
  <c r="F575" i="3"/>
  <c r="G575" i="3"/>
  <c r="V575" i="3" l="1"/>
  <c r="A576" i="3"/>
  <c r="B576" i="3" s="1"/>
  <c r="I575" i="3"/>
  <c r="J575" i="3"/>
  <c r="M575" i="3"/>
  <c r="N575" i="3" s="1"/>
  <c r="W575" i="3" l="1"/>
  <c r="L575" i="3"/>
  <c r="AA576" i="3"/>
  <c r="P576" i="3"/>
  <c r="Q576" i="3" s="1"/>
  <c r="R576" i="3" s="1"/>
  <c r="S576" i="3" s="1"/>
  <c r="AD576" i="3"/>
  <c r="Z576" i="3"/>
  <c r="AC576" i="3"/>
  <c r="U575" i="3" l="1"/>
  <c r="Y574" i="3"/>
  <c r="T576" i="3"/>
  <c r="E576" i="3" l="1"/>
  <c r="H576" i="3" s="1"/>
  <c r="K576" i="3" s="1"/>
  <c r="AE576" i="3" s="1"/>
  <c r="AH576" i="3"/>
  <c r="D576" i="3"/>
  <c r="G576" i="3" s="1"/>
  <c r="AG576" i="3"/>
  <c r="F576" i="3" l="1"/>
  <c r="V576" i="3"/>
  <c r="A577" i="3"/>
  <c r="B577" i="3" s="1"/>
  <c r="I576" i="3"/>
  <c r="J576" i="3"/>
  <c r="M576" i="3"/>
  <c r="N576" i="3" s="1"/>
  <c r="W576" i="3" l="1"/>
  <c r="L576" i="3"/>
  <c r="P577" i="3"/>
  <c r="Q577" i="3" s="1"/>
  <c r="R577" i="3" s="1"/>
  <c r="S577" i="3" s="1"/>
  <c r="AD577" i="3"/>
  <c r="AC577" i="3"/>
  <c r="AA577" i="3"/>
  <c r="Z577" i="3"/>
  <c r="U576" i="3" l="1"/>
  <c r="Y575" i="3"/>
  <c r="T577" i="3"/>
  <c r="AH577" i="3" s="1"/>
  <c r="E577" i="3" l="1"/>
  <c r="H577" i="3" s="1"/>
  <c r="K577" i="3" s="1"/>
  <c r="AE577" i="3" s="1"/>
  <c r="AG577" i="3"/>
  <c r="D577" i="3"/>
  <c r="F577" i="3" l="1"/>
  <c r="G577" i="3"/>
  <c r="J577" i="3" s="1"/>
  <c r="V577" i="3"/>
  <c r="A578" i="3"/>
  <c r="B578" i="3" s="1"/>
  <c r="M577" i="3" l="1"/>
  <c r="N577" i="3" s="1"/>
  <c r="I577" i="3"/>
  <c r="W577" i="3" s="1"/>
  <c r="L577" i="3"/>
  <c r="AC578" i="3"/>
  <c r="AD578" i="3"/>
  <c r="P578" i="3"/>
  <c r="Q578" i="3" s="1"/>
  <c r="R578" i="3" s="1"/>
  <c r="S578" i="3" s="1"/>
  <c r="Z578" i="3"/>
  <c r="AA578" i="3"/>
  <c r="U577" i="3" l="1"/>
  <c r="Y576" i="3"/>
  <c r="T578" i="3"/>
  <c r="AG578" i="3" s="1"/>
  <c r="D578" i="3" l="1"/>
  <c r="G578" i="3" s="1"/>
  <c r="AH578" i="3"/>
  <c r="E578" i="3"/>
  <c r="H578" i="3" s="1"/>
  <c r="K578" i="3" s="1"/>
  <c r="AE578" i="3" s="1"/>
  <c r="F578" i="3" l="1"/>
  <c r="I578" i="3"/>
  <c r="J578" i="3"/>
  <c r="M578" i="3"/>
  <c r="N578" i="3" s="1"/>
  <c r="V578" i="3"/>
  <c r="A579" i="3"/>
  <c r="B579" i="3" s="1"/>
  <c r="W578" i="3" l="1"/>
  <c r="L578" i="3"/>
  <c r="AC579" i="3"/>
  <c r="Z579" i="3"/>
  <c r="P579" i="3"/>
  <c r="Q579" i="3" s="1"/>
  <c r="R579" i="3" s="1"/>
  <c r="S579" i="3" s="1"/>
  <c r="AD579" i="3"/>
  <c r="AA579" i="3"/>
  <c r="U578" i="3" l="1"/>
  <c r="Y577" i="3"/>
  <c r="T579" i="3"/>
  <c r="AG579" i="3" s="1"/>
  <c r="E579" i="3" l="1"/>
  <c r="H579" i="3" s="1"/>
  <c r="K579" i="3" s="1"/>
  <c r="AE579" i="3" s="1"/>
  <c r="AH579" i="3"/>
  <c r="D579" i="3"/>
  <c r="F579" i="3" l="1"/>
  <c r="G579" i="3"/>
  <c r="M579" i="3" s="1"/>
  <c r="N579" i="3" s="1"/>
  <c r="V579" i="3"/>
  <c r="A580" i="3"/>
  <c r="B580" i="3" s="1"/>
  <c r="I579" i="3" l="1"/>
  <c r="W579" i="3" s="1"/>
  <c r="J579" i="3"/>
  <c r="L579" i="3" s="1"/>
  <c r="AD580" i="3"/>
  <c r="P580" i="3"/>
  <c r="Q580" i="3" s="1"/>
  <c r="R580" i="3" s="1"/>
  <c r="S580" i="3" s="1"/>
  <c r="AA580" i="3"/>
  <c r="AC580" i="3"/>
  <c r="Z580" i="3"/>
  <c r="U579" i="3" l="1"/>
  <c r="Y578" i="3"/>
  <c r="T580" i="3"/>
  <c r="AH580" i="3" s="1"/>
  <c r="E580" i="3" l="1"/>
  <c r="H580" i="3" s="1"/>
  <c r="D580" i="3"/>
  <c r="AG580" i="3"/>
  <c r="K580" i="3" l="1"/>
  <c r="AE580" i="3" s="1"/>
  <c r="F580" i="3"/>
  <c r="G580" i="3"/>
  <c r="I580" i="3" l="1"/>
  <c r="J580" i="3"/>
  <c r="M580" i="3"/>
  <c r="N580" i="3" s="1"/>
  <c r="V580" i="3"/>
  <c r="A581" i="3"/>
  <c r="B581" i="3" s="1"/>
  <c r="W580" i="3" l="1"/>
  <c r="P581" i="3"/>
  <c r="Q581" i="3" s="1"/>
  <c r="R581" i="3" s="1"/>
  <c r="S581" i="3" s="1"/>
  <c r="Z581" i="3"/>
  <c r="AA581" i="3"/>
  <c r="AC581" i="3"/>
  <c r="AD581" i="3"/>
  <c r="L580" i="3"/>
  <c r="T581" i="3" l="1"/>
  <c r="AH581" i="3" s="1"/>
  <c r="U580" i="3"/>
  <c r="Y579" i="3"/>
  <c r="D581" i="3" l="1"/>
  <c r="G581" i="3" s="1"/>
  <c r="AG581" i="3"/>
  <c r="E581" i="3"/>
  <c r="H581" i="3" s="1"/>
  <c r="I581" i="3" l="1"/>
  <c r="J581" i="3"/>
  <c r="M581" i="3"/>
  <c r="N581" i="3" s="1"/>
  <c r="F581" i="3"/>
  <c r="K581" i="3"/>
  <c r="AE581" i="3" s="1"/>
  <c r="L581" i="3" l="1"/>
  <c r="V581" i="3"/>
  <c r="W581" i="3" s="1"/>
  <c r="A582" i="3"/>
  <c r="B582" i="3" s="1"/>
  <c r="P582" i="3" l="1"/>
  <c r="Q582" i="3" s="1"/>
  <c r="R582" i="3" s="1"/>
  <c r="S582" i="3" s="1"/>
  <c r="Z582" i="3"/>
  <c r="AD582" i="3"/>
  <c r="AC582" i="3"/>
  <c r="AA582" i="3"/>
  <c r="U581" i="3"/>
  <c r="Y580" i="3"/>
  <c r="T582" i="3" l="1"/>
  <c r="AH582" i="3" s="1"/>
  <c r="E582" i="3" l="1"/>
  <c r="H582" i="3" s="1"/>
  <c r="K582" i="3" s="1"/>
  <c r="AE582" i="3" s="1"/>
  <c r="AG582" i="3"/>
  <c r="D582" i="3"/>
  <c r="V582" i="3" l="1"/>
  <c r="A583" i="3"/>
  <c r="B583" i="3" s="1"/>
  <c r="F582" i="3"/>
  <c r="G582" i="3"/>
  <c r="I582" i="3" l="1"/>
  <c r="W582" i="3" s="1"/>
  <c r="J582" i="3"/>
  <c r="M582" i="3"/>
  <c r="N582" i="3" s="1"/>
  <c r="AD583" i="3"/>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AD587" i="3"/>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M587" i="3"/>
  <c r="N587" i="3" s="1"/>
  <c r="L587" i="3" l="1"/>
  <c r="V587" i="3"/>
  <c r="W587" i="3" s="1"/>
  <c r="A588" i="3"/>
  <c r="B588" i="3" s="1"/>
  <c r="U587" i="3" l="1"/>
  <c r="Y586" i="3"/>
  <c r="P588" i="3"/>
  <c r="Q588" i="3" s="1"/>
  <c r="R588" i="3" s="1"/>
  <c r="S588" i="3" s="1"/>
  <c r="AD588" i="3"/>
  <c r="Z588" i="3"/>
  <c r="AC588" i="3"/>
  <c r="AA588" i="3"/>
  <c r="T588" i="3" l="1"/>
  <c r="AH588" i="3" s="1"/>
  <c r="E588" i="3" l="1"/>
  <c r="H588" i="3" s="1"/>
  <c r="K588" i="3" s="1"/>
  <c r="AE588" i="3" s="1"/>
  <c r="AG588" i="3"/>
  <c r="D588" i="3"/>
  <c r="G588" i="3" s="1"/>
  <c r="F588" i="3" l="1"/>
  <c r="I588" i="3"/>
  <c r="J588" i="3"/>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AD595" i="3"/>
  <c r="T595" i="3" l="1"/>
  <c r="L594" i="3"/>
  <c r="AH595" i="3" l="1"/>
  <c r="U594" i="3"/>
  <c r="E595" i="3" s="1"/>
  <c r="H595" i="3" s="1"/>
  <c r="AG595" i="3"/>
  <c r="Y593" i="3"/>
  <c r="D595" i="3" l="1"/>
  <c r="G595" i="3" s="1"/>
  <c r="K595" i="3"/>
  <c r="AE595" i="3" s="1"/>
  <c r="F595" i="3" l="1"/>
  <c r="V595" i="3"/>
  <c r="A596" i="3"/>
  <c r="B596" i="3" s="1"/>
  <c r="I595" i="3"/>
  <c r="J595" i="3"/>
  <c r="M595" i="3"/>
  <c r="N595" i="3" s="1"/>
  <c r="W595" i="3" l="1"/>
  <c r="L595" i="3"/>
  <c r="P596" i="3"/>
  <c r="Q596" i="3" s="1"/>
  <c r="R596" i="3" s="1"/>
  <c r="S596" i="3" s="1"/>
  <c r="AA596" i="3"/>
  <c r="AC596" i="3"/>
  <c r="AD596" i="3"/>
  <c r="Z596" i="3"/>
  <c r="T596" i="3" l="1"/>
  <c r="AG596" i="3" s="1"/>
  <c r="U595" i="3"/>
  <c r="Y594" i="3"/>
  <c r="D596" i="3" l="1"/>
  <c r="E596" i="3"/>
  <c r="H596" i="3" s="1"/>
  <c r="AH596" i="3"/>
  <c r="F596" i="3" l="1"/>
  <c r="G596" i="3"/>
  <c r="K596" i="3"/>
  <c r="AE596" i="3" s="1"/>
  <c r="V596" i="3" l="1"/>
  <c r="A597" i="3"/>
  <c r="B597" i="3" s="1"/>
  <c r="I596" i="3"/>
  <c r="J596" i="3"/>
  <c r="M596" i="3"/>
  <c r="N596" i="3" s="1"/>
  <c r="W596" i="3" l="1"/>
  <c r="L596" i="3"/>
  <c r="Z597" i="3"/>
  <c r="P597" i="3"/>
  <c r="Q597" i="3" s="1"/>
  <c r="R597" i="3" s="1"/>
  <c r="S597" i="3" s="1"/>
  <c r="AA597" i="3"/>
  <c r="AC597" i="3"/>
  <c r="AD597" i="3"/>
  <c r="U596" i="3" l="1"/>
  <c r="Y595" i="3"/>
  <c r="T597" i="3"/>
  <c r="E597" i="3" l="1"/>
  <c r="H597" i="3" s="1"/>
  <c r="K597" i="3" s="1"/>
  <c r="AE597" i="3" s="1"/>
  <c r="AH597" i="3"/>
  <c r="AG597" i="3"/>
  <c r="D597" i="3"/>
  <c r="G597" i="3" s="1"/>
  <c r="F597" i="3" l="1"/>
  <c r="I597" i="3"/>
  <c r="J597" i="3"/>
  <c r="M597" i="3"/>
  <c r="N597" i="3" s="1"/>
  <c r="V597" i="3"/>
  <c r="A598" i="3"/>
  <c r="B598" i="3" s="1"/>
  <c r="W597" i="3" l="1"/>
  <c r="L597" i="3"/>
  <c r="AC598" i="3"/>
  <c r="P598" i="3"/>
  <c r="Q598" i="3" s="1"/>
  <c r="R598" i="3" s="1"/>
  <c r="S598" i="3" s="1"/>
  <c r="Z598" i="3"/>
  <c r="AA598" i="3"/>
  <c r="AD598" i="3"/>
  <c r="U597" i="3" l="1"/>
  <c r="Y596" i="3"/>
  <c r="T598" i="3"/>
  <c r="AG598" i="3" s="1"/>
  <c r="AH598" i="3" l="1"/>
  <c r="E598" i="3"/>
  <c r="H598" i="3" s="1"/>
  <c r="K598" i="3" s="1"/>
  <c r="AE598" i="3" s="1"/>
  <c r="D598" i="3"/>
  <c r="V598" i="3" l="1"/>
  <c r="A599" i="3"/>
  <c r="B599" i="3" s="1"/>
  <c r="F598" i="3"/>
  <c r="G598" i="3"/>
  <c r="I598" i="3" l="1"/>
  <c r="W598" i="3" s="1"/>
  <c r="J598" i="3"/>
  <c r="M598" i="3"/>
  <c r="N598" i="3" s="1"/>
  <c r="AC599" i="3"/>
  <c r="AA599" i="3"/>
  <c r="P599" i="3"/>
  <c r="Q599" i="3" s="1"/>
  <c r="R599" i="3" s="1"/>
  <c r="S599" i="3" s="1"/>
  <c r="AD599" i="3"/>
  <c r="Z599" i="3"/>
  <c r="T599" i="3" l="1"/>
  <c r="L598" i="3"/>
  <c r="U598" i="3" l="1"/>
  <c r="D599" i="3" s="1"/>
  <c r="AG599" i="3"/>
  <c r="AH599" i="3"/>
  <c r="Y597" i="3"/>
  <c r="G599" i="3" l="1"/>
  <c r="E599" i="3"/>
  <c r="H599" i="3" s="1"/>
  <c r="I599" i="3" l="1"/>
  <c r="J599" i="3"/>
  <c r="M599" i="3"/>
  <c r="N599" i="3" s="1"/>
  <c r="K599" i="3"/>
  <c r="AE599" i="3" s="1"/>
  <c r="F599" i="3"/>
  <c r="V599" i="3" l="1"/>
  <c r="W599" i="3" s="1"/>
  <c r="A600" i="3"/>
  <c r="B600" i="3" s="1"/>
  <c r="L599" i="3"/>
  <c r="U599" i="3" l="1"/>
  <c r="Y598" i="3"/>
  <c r="AC600" i="3"/>
  <c r="P600" i="3"/>
  <c r="Q600" i="3" s="1"/>
  <c r="R600" i="3" s="1"/>
  <c r="S600" i="3" s="1"/>
  <c r="Z600" i="3"/>
  <c r="AA600" i="3"/>
  <c r="AD600" i="3"/>
  <c r="T600" i="3" l="1"/>
  <c r="E600" i="3" s="1"/>
  <c r="H600" i="3" s="1"/>
  <c r="AH600" i="3" l="1"/>
  <c r="K600" i="3"/>
  <c r="AE600" i="3" s="1"/>
  <c r="AG600" i="3"/>
  <c r="D600" i="3"/>
  <c r="V600" i="3" l="1"/>
  <c r="A601" i="3"/>
  <c r="B601" i="3" s="1"/>
  <c r="F600" i="3"/>
  <c r="G600" i="3"/>
  <c r="I600" i="3" l="1"/>
  <c r="W600" i="3" s="1"/>
  <c r="J600" i="3"/>
  <c r="M600" i="3"/>
  <c r="N600" i="3" s="1"/>
  <c r="P601" i="3"/>
  <c r="Q601" i="3" s="1"/>
  <c r="R601" i="3" s="1"/>
  <c r="S601" i="3" s="1"/>
  <c r="AA601" i="3"/>
  <c r="AC601" i="3"/>
  <c r="Z601" i="3"/>
  <c r="AD601" i="3"/>
  <c r="T601" i="3" l="1"/>
  <c r="L600" i="3"/>
  <c r="AH601" i="3" l="1"/>
  <c r="U600" i="3"/>
  <c r="D601" i="3" s="1"/>
  <c r="AG601" i="3"/>
  <c r="Y599" i="3"/>
  <c r="E601" i="3" l="1"/>
  <c r="H601" i="3" s="1"/>
  <c r="K601" i="3" s="1"/>
  <c r="AE601" i="3" s="1"/>
  <c r="G601" i="3"/>
  <c r="F601" i="3" l="1"/>
  <c r="I601" i="3"/>
  <c r="J601" i="3"/>
  <c r="M601" i="3"/>
  <c r="N601" i="3" s="1"/>
  <c r="V601" i="3"/>
  <c r="A602" i="3"/>
  <c r="B602" i="3" s="1"/>
  <c r="W601" i="3" l="1"/>
  <c r="L601" i="3"/>
  <c r="P602" i="3"/>
  <c r="Q602" i="3" s="1"/>
  <c r="R602" i="3" s="1"/>
  <c r="S602" i="3" s="1"/>
  <c r="Z602" i="3"/>
  <c r="AC602" i="3"/>
  <c r="AD602" i="3"/>
  <c r="AA602" i="3"/>
  <c r="U601" i="3" l="1"/>
  <c r="Y600" i="3"/>
  <c r="T602" i="3"/>
  <c r="AG602" i="3" s="1"/>
  <c r="D602" i="3" l="1"/>
  <c r="E602" i="3"/>
  <c r="H602" i="3" s="1"/>
  <c r="AH602" i="3"/>
  <c r="K602" i="3" l="1"/>
  <c r="AE602" i="3" s="1"/>
  <c r="F602" i="3"/>
  <c r="G602" i="3"/>
  <c r="I602" i="3" l="1"/>
  <c r="J602" i="3"/>
  <c r="M602" i="3"/>
  <c r="N602" i="3" s="1"/>
  <c r="V602" i="3"/>
  <c r="A603" i="3"/>
  <c r="B603" i="3" s="1"/>
  <c r="W602" i="3" l="1"/>
  <c r="L602" i="3"/>
  <c r="AA603" i="3"/>
  <c r="AC603" i="3"/>
  <c r="AD603" i="3"/>
  <c r="Z603" i="3"/>
  <c r="P603" i="3"/>
  <c r="Q603" i="3" s="1"/>
  <c r="R603" i="3" s="1"/>
  <c r="S603" i="3" s="1"/>
  <c r="U602" i="3" l="1"/>
  <c r="Y601" i="3"/>
  <c r="T603" i="3"/>
  <c r="AG603" i="3" s="1"/>
  <c r="AH603" i="3" l="1"/>
  <c r="D603" i="3"/>
  <c r="G603" i="3" s="1"/>
  <c r="E603" i="3"/>
  <c r="H603" i="3" s="1"/>
  <c r="K603" i="3" s="1"/>
  <c r="AE603" i="3" s="1"/>
  <c r="F603" i="3" l="1"/>
  <c r="I603" i="3"/>
  <c r="J603" i="3"/>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D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M607" i="3"/>
  <c r="N607" i="3" s="1"/>
  <c r="AD608" i="3"/>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AD617" i="3"/>
  <c r="P617" i="3"/>
  <c r="Q617" i="3" s="1"/>
  <c r="R617" i="3" s="1"/>
  <c r="S617" i="3" s="1"/>
  <c r="AA617" i="3"/>
  <c r="U616" i="3" l="1"/>
  <c r="Y615" i="3"/>
  <c r="T617" i="3"/>
  <c r="AG617" i="3" s="1"/>
  <c r="D617" i="3" l="1"/>
  <c r="G617" i="3" s="1"/>
  <c r="E617" i="3"/>
  <c r="H617" i="3" s="1"/>
  <c r="K617" i="3" s="1"/>
  <c r="AE617" i="3" s="1"/>
  <c r="AH617" i="3"/>
  <c r="F617" i="3" l="1"/>
  <c r="I617" i="3"/>
  <c r="J617" i="3"/>
  <c r="M617" i="3"/>
  <c r="N617" i="3" s="1"/>
  <c r="V617" i="3"/>
  <c r="A618" i="3"/>
  <c r="B618" i="3" s="1"/>
  <c r="W617" i="3" l="1"/>
  <c r="L617" i="3"/>
  <c r="P618" i="3"/>
  <c r="Q618" i="3" s="1"/>
  <c r="R618" i="3" s="1"/>
  <c r="S618" i="3" s="1"/>
  <c r="AD618" i="3"/>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AD627" i="3"/>
  <c r="P627" i="3"/>
  <c r="Q627" i="3" s="1"/>
  <c r="R627" i="3" s="1"/>
  <c r="S627" i="3" s="1"/>
  <c r="AC627" i="3"/>
  <c r="AA627" i="3"/>
  <c r="L626" i="3" l="1"/>
  <c r="T627" i="3"/>
  <c r="AG627" i="3" l="1"/>
  <c r="U626" i="3"/>
  <c r="D627" i="3" s="1"/>
  <c r="AH627" i="3"/>
  <c r="Y625" i="3"/>
  <c r="G627" i="3" l="1"/>
  <c r="E627" i="3"/>
  <c r="H627" i="3" s="1"/>
  <c r="K627" i="3" l="1"/>
  <c r="AE627" i="3" s="1"/>
  <c r="I627" i="3"/>
  <c r="J627" i="3"/>
  <c r="M627" i="3"/>
  <c r="N627" i="3" s="1"/>
  <c r="F627" i="3"/>
  <c r="L627" i="3" l="1"/>
  <c r="V627" i="3"/>
  <c r="W627" i="3" s="1"/>
  <c r="A628" i="3"/>
  <c r="B628" i="3" s="1"/>
  <c r="Z628" i="3" l="1"/>
  <c r="AA628" i="3"/>
  <c r="P628" i="3"/>
  <c r="Q628" i="3" s="1"/>
  <c r="R628" i="3" s="1"/>
  <c r="S628" i="3" s="1"/>
  <c r="AC628" i="3"/>
  <c r="AD628" i="3"/>
  <c r="U627" i="3"/>
  <c r="Y626" i="3"/>
  <c r="T628" i="3" l="1"/>
  <c r="D628" i="3" l="1"/>
  <c r="E628" i="3"/>
  <c r="H628" i="3" s="1"/>
  <c r="AG628" i="3"/>
  <c r="AH628" i="3"/>
  <c r="F628" i="3" l="1"/>
  <c r="G628" i="3"/>
  <c r="K628" i="3"/>
  <c r="AE628" i="3" s="1"/>
  <c r="I628" i="3" l="1"/>
  <c r="J628" i="3"/>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D637" i="3"/>
  <c r="AA637" i="3"/>
  <c r="U636" i="3" l="1"/>
  <c r="Y635" i="3"/>
  <c r="T637" i="3"/>
  <c r="AG637" i="3" s="1"/>
  <c r="D637" i="3" l="1"/>
  <c r="AH637" i="3"/>
  <c r="E637" i="3"/>
  <c r="H637" i="3" s="1"/>
  <c r="F637" i="3" l="1"/>
  <c r="G637" i="3"/>
  <c r="K637" i="3"/>
  <c r="AE637" i="3" s="1"/>
  <c r="I637" i="3" l="1"/>
  <c r="J637" i="3"/>
  <c r="M637" i="3"/>
  <c r="N637" i="3" s="1"/>
  <c r="V637" i="3"/>
  <c r="A638" i="3"/>
  <c r="B638" i="3" s="1"/>
  <c r="W637" i="3" l="1"/>
  <c r="L637" i="3"/>
  <c r="P638" i="3"/>
  <c r="Q638" i="3" s="1"/>
  <c r="R638" i="3" s="1"/>
  <c r="S638" i="3" s="1"/>
  <c r="AD638" i="3"/>
  <c r="AC638" i="3"/>
  <c r="AA638" i="3"/>
  <c r="Z638" i="3"/>
  <c r="T638" i="3" l="1"/>
  <c r="AG638" i="3" s="1"/>
  <c r="U637" i="3"/>
  <c r="Y636" i="3"/>
  <c r="D638" i="3" l="1"/>
  <c r="G638" i="3" s="1"/>
  <c r="E638" i="3"/>
  <c r="H638" i="3" s="1"/>
  <c r="AH638" i="3"/>
  <c r="F638" i="3" l="1"/>
  <c r="I638" i="3"/>
  <c r="J638" i="3"/>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AD647" i="3"/>
  <c r="Z647" i="3"/>
  <c r="U646" i="3" l="1"/>
  <c r="Y645" i="3"/>
  <c r="T647" i="3"/>
  <c r="AG647" i="3" s="1"/>
  <c r="E647" i="3" l="1"/>
  <c r="H647" i="3" s="1"/>
  <c r="D647" i="3"/>
  <c r="AH647" i="3"/>
  <c r="F647" i="3" l="1"/>
  <c r="G647" i="3"/>
  <c r="K647" i="3"/>
  <c r="AE647" i="3" s="1"/>
  <c r="V647" i="3" l="1"/>
  <c r="A648" i="3"/>
  <c r="B648" i="3" s="1"/>
  <c r="I647" i="3"/>
  <c r="J647" i="3"/>
  <c r="M647" i="3"/>
  <c r="N647" i="3" s="1"/>
  <c r="W647" i="3" l="1"/>
  <c r="L647" i="3"/>
  <c r="AC648" i="3"/>
  <c r="AA648" i="3"/>
  <c r="P648" i="3"/>
  <c r="Q648" i="3" s="1"/>
  <c r="R648" i="3" s="1"/>
  <c r="S648" i="3" s="1"/>
  <c r="Z648" i="3"/>
  <c r="AD648" i="3"/>
  <c r="T648" i="3" l="1"/>
  <c r="AH648" i="3" s="1"/>
  <c r="U647" i="3"/>
  <c r="Y646" i="3"/>
  <c r="D648" i="3" l="1"/>
  <c r="AG648" i="3"/>
  <c r="E648" i="3"/>
  <c r="H648" i="3" s="1"/>
  <c r="F648" i="3" l="1"/>
  <c r="G648" i="3"/>
  <c r="K648" i="3"/>
  <c r="AE648" i="3" s="1"/>
  <c r="I648" i="3" l="1"/>
  <c r="J648" i="3"/>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AD657" i="3"/>
  <c r="P657" i="3"/>
  <c r="Q657" i="3" s="1"/>
  <c r="R657" i="3" s="1"/>
  <c r="S657" i="3" s="1"/>
  <c r="AA657" i="3"/>
  <c r="Z657" i="3"/>
  <c r="L656" i="3" l="1"/>
  <c r="T657" i="3"/>
  <c r="AH657" i="3" l="1"/>
  <c r="U656" i="3"/>
  <c r="E657" i="3" s="1"/>
  <c r="H657" i="3" s="1"/>
  <c r="AG657" i="3"/>
  <c r="Y655" i="3"/>
  <c r="D657" i="3" l="1"/>
  <c r="G657" i="3" s="1"/>
  <c r="K657" i="3"/>
  <c r="AE657" i="3" s="1"/>
  <c r="F657" i="3" l="1"/>
  <c r="I657" i="3"/>
  <c r="J657" i="3"/>
  <c r="M657" i="3"/>
  <c r="N657" i="3" s="1"/>
  <c r="V657" i="3"/>
  <c r="A658" i="3"/>
  <c r="B658" i="3" s="1"/>
  <c r="W657" i="3" l="1"/>
  <c r="L657" i="3"/>
  <c r="AC658" i="3"/>
  <c r="Z658" i="3"/>
  <c r="AD658" i="3"/>
  <c r="AA658" i="3"/>
  <c r="P658" i="3"/>
  <c r="Q658" i="3" s="1"/>
  <c r="R658" i="3" s="1"/>
  <c r="S658" i="3" s="1"/>
  <c r="U657" i="3" l="1"/>
  <c r="Y656" i="3"/>
  <c r="T658" i="3"/>
  <c r="AG658" i="3" s="1"/>
  <c r="E658" i="3" l="1"/>
  <c r="H658" i="3" s="1"/>
  <c r="D658" i="3"/>
  <c r="AH658" i="3"/>
  <c r="K658" i="3" l="1"/>
  <c r="AE658" i="3" s="1"/>
  <c r="F658" i="3"/>
  <c r="G658" i="3"/>
  <c r="I658" i="3" l="1"/>
  <c r="J658" i="3"/>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D667" i="3"/>
  <c r="AA667" i="3"/>
  <c r="U666" i="3" l="1"/>
  <c r="Y665" i="3"/>
  <c r="T667" i="3"/>
  <c r="AG667" i="3" s="1"/>
  <c r="D667" i="3" l="1"/>
  <c r="E667" i="3"/>
  <c r="H667" i="3" s="1"/>
  <c r="AH667" i="3"/>
  <c r="F667" i="3" l="1"/>
  <c r="G667" i="3"/>
  <c r="K667" i="3"/>
  <c r="AE667" i="3" s="1"/>
  <c r="I667" i="3" l="1"/>
  <c r="J667" i="3"/>
  <c r="M667" i="3"/>
  <c r="N667" i="3" s="1"/>
  <c r="V667" i="3"/>
  <c r="A668" i="3"/>
  <c r="B668" i="3" s="1"/>
  <c r="W667" i="3" l="1"/>
  <c r="L667" i="3"/>
  <c r="Z668" i="3"/>
  <c r="P668" i="3"/>
  <c r="Q668" i="3" s="1"/>
  <c r="R668" i="3" s="1"/>
  <c r="S668" i="3" s="1"/>
  <c r="AD668" i="3"/>
  <c r="AC668" i="3"/>
  <c r="AA668" i="3"/>
  <c r="T668" i="3" l="1"/>
  <c r="AH668" i="3" s="1"/>
  <c r="U667" i="3"/>
  <c r="Y666" i="3"/>
  <c r="D668" i="3" l="1"/>
  <c r="G668" i="3" s="1"/>
  <c r="AG668" i="3"/>
  <c r="E668" i="3"/>
  <c r="H668" i="3" s="1"/>
  <c r="F668" i="3" l="1"/>
  <c r="I668" i="3"/>
  <c r="J668" i="3"/>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D675" i="3"/>
  <c r="AA675" i="3"/>
  <c r="AC675" i="3"/>
  <c r="Z675" i="3"/>
  <c r="U674" i="3" l="1"/>
  <c r="Y673" i="3"/>
  <c r="T675" i="3"/>
  <c r="AH675" i="3" s="1"/>
  <c r="AG675" i="3" l="1"/>
  <c r="D675" i="3"/>
  <c r="E675" i="3"/>
  <c r="H675" i="3" s="1"/>
  <c r="F675" i="3" l="1"/>
  <c r="G675" i="3"/>
  <c r="K675" i="3"/>
  <c r="AE675" i="3" s="1"/>
  <c r="I675" i="3" l="1"/>
  <c r="J675" i="3"/>
  <c r="M675" i="3"/>
  <c r="N675" i="3" s="1"/>
  <c r="V675" i="3"/>
  <c r="A676" i="3"/>
  <c r="B676" i="3" s="1"/>
  <c r="W675" i="3" l="1"/>
  <c r="L675" i="3"/>
  <c r="AD676" i="3"/>
  <c r="AC676" i="3"/>
  <c r="P676" i="3"/>
  <c r="Q676" i="3" s="1"/>
  <c r="R676" i="3" s="1"/>
  <c r="S676" i="3" s="1"/>
  <c r="Z676" i="3"/>
  <c r="AA676" i="3"/>
  <c r="T676" i="3" l="1"/>
  <c r="U675" i="3"/>
  <c r="Y674" i="3"/>
  <c r="E676" i="3" l="1"/>
  <c r="H676" i="3" s="1"/>
  <c r="K676" i="3" s="1"/>
  <c r="AE676" i="3" s="1"/>
  <c r="AH676" i="3"/>
  <c r="D676" i="3"/>
  <c r="G676" i="3" s="1"/>
  <c r="AG676" i="3"/>
  <c r="F676" i="3" l="1"/>
  <c r="I676" i="3"/>
  <c r="J676" i="3"/>
  <c r="M676" i="3"/>
  <c r="N676" i="3" s="1"/>
  <c r="V676" i="3"/>
  <c r="A677" i="3"/>
  <c r="B677" i="3" s="1"/>
  <c r="W676" i="3" l="1"/>
  <c r="L676" i="3"/>
  <c r="AA677" i="3"/>
  <c r="AC677" i="3"/>
  <c r="Z677" i="3"/>
  <c r="AD677" i="3"/>
  <c r="P677" i="3"/>
  <c r="Q677" i="3" s="1"/>
  <c r="R677" i="3" s="1"/>
  <c r="S677" i="3" s="1"/>
  <c r="U676" i="3" l="1"/>
  <c r="Y675" i="3"/>
  <c r="T677" i="3"/>
  <c r="AG677" i="3" s="1"/>
  <c r="D677" i="3" l="1"/>
  <c r="G677" i="3" s="1"/>
  <c r="AH677" i="3"/>
  <c r="E677" i="3"/>
  <c r="H677" i="3" s="1"/>
  <c r="F677" i="3" l="1"/>
  <c r="I677" i="3"/>
  <c r="J677" i="3"/>
  <c r="M677" i="3"/>
  <c r="N677" i="3" s="1"/>
  <c r="K677" i="3"/>
  <c r="AE677" i="3" s="1"/>
  <c r="V677" i="3" l="1"/>
  <c r="W677" i="3" s="1"/>
  <c r="A678" i="3"/>
  <c r="B678" i="3" s="1"/>
  <c r="L677" i="3"/>
  <c r="U677" i="3" l="1"/>
  <c r="Y676" i="3"/>
  <c r="AD678" i="3"/>
  <c r="P678" i="3"/>
  <c r="Q678" i="3" s="1"/>
  <c r="R678" i="3" s="1"/>
  <c r="S678" i="3" s="1"/>
  <c r="Z678" i="3"/>
  <c r="AC678" i="3"/>
  <c r="AA678" i="3"/>
  <c r="T678" i="3" l="1"/>
  <c r="AH678" i="3" s="1"/>
  <c r="E678" i="3" l="1"/>
  <c r="H678" i="3" s="1"/>
  <c r="K678" i="3" s="1"/>
  <c r="AE678" i="3" s="1"/>
  <c r="D678" i="3"/>
  <c r="AG678" i="3"/>
  <c r="F678" i="3" l="1"/>
  <c r="G678" i="3"/>
  <c r="J678" i="3" s="1"/>
  <c r="V678" i="3"/>
  <c r="A679" i="3"/>
  <c r="B679" i="3" s="1"/>
  <c r="M678" i="3" l="1"/>
  <c r="N678" i="3" s="1"/>
  <c r="I678" i="3"/>
  <c r="W678" i="3" s="1"/>
  <c r="L678" i="3"/>
  <c r="P679" i="3"/>
  <c r="Q679" i="3" s="1"/>
  <c r="R679" i="3" s="1"/>
  <c r="S679" i="3" s="1"/>
  <c r="AA679" i="3"/>
  <c r="Z679" i="3"/>
  <c r="AD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AD680" i="3"/>
  <c r="I679" i="3"/>
  <c r="W679" i="3" s="1"/>
  <c r="J679" i="3"/>
  <c r="M679" i="3"/>
  <c r="N679" i="3" s="1"/>
  <c r="L679" i="3" l="1"/>
  <c r="T680" i="3"/>
  <c r="AH680" i="3" l="1"/>
  <c r="U679" i="3"/>
  <c r="E680" i="3" s="1"/>
  <c r="H680" i="3" s="1"/>
  <c r="AG680" i="3"/>
  <c r="Y678" i="3"/>
  <c r="D680" i="3" l="1"/>
  <c r="G680" i="3" s="1"/>
  <c r="K680" i="3"/>
  <c r="AE680" i="3" s="1"/>
  <c r="F680" i="3" l="1"/>
  <c r="I680" i="3"/>
  <c r="J680" i="3"/>
  <c r="M680" i="3"/>
  <c r="N680" i="3" s="1"/>
  <c r="V680" i="3"/>
  <c r="A681" i="3"/>
  <c r="B681" i="3" s="1"/>
  <c r="W680" i="3" l="1"/>
  <c r="L680" i="3"/>
  <c r="AD681"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AD682" i="3" l="1"/>
  <c r="Z682" i="3"/>
  <c r="P682" i="3"/>
  <c r="Q682" i="3" s="1"/>
  <c r="R682" i="3" s="1"/>
  <c r="S682" i="3" s="1"/>
  <c r="AC682" i="3"/>
  <c r="AA682" i="3"/>
  <c r="I681" i="3"/>
  <c r="W681" i="3" s="1"/>
  <c r="J681" i="3"/>
  <c r="M681" i="3"/>
  <c r="N681" i="3" s="1"/>
  <c r="L681" i="3" l="1"/>
  <c r="T682" i="3"/>
  <c r="U681" i="3" l="1"/>
  <c r="E682" i="3" s="1"/>
  <c r="H682" i="3" s="1"/>
  <c r="AG682" i="3"/>
  <c r="AH682" i="3"/>
  <c r="Y680" i="3"/>
  <c r="D682" i="3" l="1"/>
  <c r="G682" i="3" s="1"/>
  <c r="K682" i="3"/>
  <c r="AE682" i="3" s="1"/>
  <c r="F682" i="3" l="1"/>
  <c r="V682" i="3"/>
  <c r="A683" i="3"/>
  <c r="B683" i="3" s="1"/>
  <c r="I682" i="3"/>
  <c r="J682" i="3"/>
  <c r="M682" i="3"/>
  <c r="N682" i="3" s="1"/>
  <c r="W682" i="3" l="1"/>
  <c r="L682" i="3"/>
  <c r="P683" i="3"/>
  <c r="Q683" i="3" s="1"/>
  <c r="R683" i="3" s="1"/>
  <c r="S683" i="3" s="1"/>
  <c r="AC683" i="3"/>
  <c r="AD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D687" i="3"/>
  <c r="AA687" i="3"/>
  <c r="AC687" i="3"/>
  <c r="U686" i="3" l="1"/>
  <c r="Y685" i="3"/>
  <c r="T687" i="3"/>
  <c r="AG687" i="3" s="1"/>
  <c r="AH687" i="3" l="1"/>
  <c r="D687" i="3"/>
  <c r="G687" i="3" s="1"/>
  <c r="E687" i="3"/>
  <c r="H687" i="3" s="1"/>
  <c r="K687" i="3" s="1"/>
  <c r="AE687" i="3" s="1"/>
  <c r="F687" i="3" l="1"/>
  <c r="I687" i="3"/>
  <c r="J687" i="3"/>
  <c r="M687" i="3"/>
  <c r="N687" i="3" s="1"/>
  <c r="V687" i="3"/>
  <c r="A688" i="3"/>
  <c r="B688" i="3" s="1"/>
  <c r="W687" i="3" l="1"/>
  <c r="L687" i="3"/>
  <c r="AC688" i="3"/>
  <c r="AA688" i="3"/>
  <c r="AD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AD695"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M695" i="3"/>
  <c r="N695" i="3" s="1"/>
  <c r="AD696" i="3"/>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M696" i="3"/>
  <c r="N696" i="3" s="1"/>
  <c r="W696" i="3" l="1"/>
  <c r="AD697" i="3"/>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L697" i="3" s="1"/>
  <c r="AD698" i="3"/>
  <c r="AA698" i="3"/>
  <c r="Z698" i="3"/>
  <c r="AC698" i="3"/>
  <c r="P698" i="3"/>
  <c r="Q698" i="3" s="1"/>
  <c r="R698" i="3" s="1"/>
  <c r="S698" i="3" s="1"/>
  <c r="U697" i="3" l="1"/>
  <c r="Y696" i="3"/>
  <c r="T698" i="3"/>
  <c r="AG698" i="3" s="1"/>
  <c r="E698" i="3" l="1"/>
  <c r="H698" i="3" s="1"/>
  <c r="K698" i="3" s="1"/>
  <c r="AE698" i="3" s="1"/>
  <c r="AH698" i="3"/>
  <c r="D698" i="3"/>
  <c r="F698" i="3" l="1"/>
  <c r="G698" i="3"/>
  <c r="J698" i="3" s="1"/>
  <c r="V698" i="3"/>
  <c r="A699" i="3"/>
  <c r="B699" i="3" s="1"/>
  <c r="M698" i="3" l="1"/>
  <c r="N698" i="3" s="1"/>
  <c r="I698" i="3"/>
  <c r="W698" i="3" s="1"/>
  <c r="L698" i="3"/>
  <c r="Z699" i="3"/>
  <c r="P699" i="3"/>
  <c r="Q699" i="3" s="1"/>
  <c r="R699" i="3" s="1"/>
  <c r="S699" i="3" s="1"/>
  <c r="AA699" i="3"/>
  <c r="AD699" i="3"/>
  <c r="AC699" i="3"/>
  <c r="T699" i="3" l="1"/>
  <c r="U698" i="3"/>
  <c r="Y697" i="3"/>
  <c r="D699" i="3" l="1"/>
  <c r="G699" i="3" s="1"/>
  <c r="AG699" i="3"/>
  <c r="AH699" i="3"/>
  <c r="E699" i="3"/>
  <c r="H699" i="3" s="1"/>
  <c r="K699" i="3" l="1"/>
  <c r="AE699" i="3" s="1"/>
  <c r="I699" i="3"/>
  <c r="J699" i="3"/>
  <c r="M699" i="3"/>
  <c r="N699" i="3" s="1"/>
  <c r="F699" i="3"/>
  <c r="L699" i="3" l="1"/>
  <c r="V699" i="3"/>
  <c r="W699" i="3" s="1"/>
  <c r="A700" i="3"/>
  <c r="B700" i="3" s="1"/>
  <c r="U699" i="3" l="1"/>
  <c r="Y698" i="3"/>
  <c r="Z700" i="3"/>
  <c r="P700" i="3"/>
  <c r="Q700" i="3" s="1"/>
  <c r="R700" i="3" s="1"/>
  <c r="S700" i="3" s="1"/>
  <c r="AD700" i="3"/>
  <c r="AC700" i="3"/>
  <c r="AA700" i="3"/>
  <c r="T700" i="3" l="1"/>
  <c r="D700" i="3" s="1"/>
  <c r="AH700" i="3" l="1"/>
  <c r="AG700" i="3"/>
  <c r="E700" i="3"/>
  <c r="H700" i="3" s="1"/>
  <c r="K700" i="3" s="1"/>
  <c r="AE700" i="3" s="1"/>
  <c r="G700" i="3"/>
  <c r="F700" i="3" l="1"/>
  <c r="I700" i="3"/>
  <c r="J700" i="3"/>
  <c r="M700" i="3"/>
  <c r="N700" i="3" s="1"/>
  <c r="V700" i="3"/>
  <c r="A701" i="3"/>
  <c r="B701" i="3" s="1"/>
  <c r="W700" i="3" l="1"/>
  <c r="L700" i="3"/>
  <c r="AC701" i="3"/>
  <c r="AA701" i="3"/>
  <c r="Z701" i="3"/>
  <c r="P701" i="3"/>
  <c r="Q701" i="3" s="1"/>
  <c r="R701" i="3" s="1"/>
  <c r="S701" i="3" s="1"/>
  <c r="AD701" i="3"/>
  <c r="U700" i="3" l="1"/>
  <c r="Y699" i="3"/>
  <c r="T701" i="3"/>
  <c r="AG701" i="3" s="1"/>
  <c r="AH701" i="3" l="1"/>
  <c r="E701" i="3"/>
  <c r="H701" i="3" s="1"/>
  <c r="D701" i="3"/>
  <c r="F701" i="3" l="1"/>
  <c r="G701" i="3"/>
  <c r="K701" i="3"/>
  <c r="AE701" i="3" s="1"/>
  <c r="I701" i="3" l="1"/>
  <c r="J701" i="3"/>
  <c r="M701" i="3"/>
  <c r="N701" i="3" s="1"/>
  <c r="V701" i="3"/>
  <c r="A702" i="3"/>
  <c r="B702" i="3" s="1"/>
  <c r="W701" i="3" l="1"/>
  <c r="L701" i="3"/>
  <c r="AC702" i="3"/>
  <c r="AD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M702" i="3"/>
  <c r="N702" i="3" s="1"/>
  <c r="W702" i="3" l="1"/>
  <c r="L702" i="3"/>
  <c r="AC703" i="3"/>
  <c r="AD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AD707" i="3"/>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M707" i="3"/>
  <c r="N707" i="3" s="1"/>
  <c r="AD708" i="3"/>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AD717" i="3"/>
  <c r="Z717" i="3"/>
  <c r="AA717" i="3"/>
  <c r="U716" i="3" l="1"/>
  <c r="Y715" i="3"/>
  <c r="T717" i="3"/>
  <c r="AG717" i="3" s="1"/>
  <c r="E717" i="3" l="1"/>
  <c r="H717" i="3" s="1"/>
  <c r="K717" i="3" s="1"/>
  <c r="AE717" i="3" s="1"/>
  <c r="AH717" i="3"/>
  <c r="D717" i="3"/>
  <c r="V717" i="3" l="1"/>
  <c r="A718" i="3"/>
  <c r="B718" i="3" s="1"/>
  <c r="F717" i="3"/>
  <c r="G717" i="3"/>
  <c r="I717" i="3" l="1"/>
  <c r="W717" i="3" s="1"/>
  <c r="J717" i="3"/>
  <c r="M717" i="3"/>
  <c r="N717" i="3" s="1"/>
  <c r="P718" i="3"/>
  <c r="Q718" i="3" s="1"/>
  <c r="R718" i="3" s="1"/>
  <c r="S718" i="3" s="1"/>
  <c r="AC718" i="3"/>
  <c r="Z718" i="3"/>
  <c r="AD718" i="3"/>
  <c r="AA718" i="3"/>
  <c r="L717" i="3" l="1"/>
  <c r="T718" i="3"/>
  <c r="U717" i="3" l="1"/>
  <c r="E718" i="3" s="1"/>
  <c r="H718" i="3" s="1"/>
  <c r="AH718" i="3"/>
  <c r="AG718" i="3"/>
  <c r="Y716" i="3"/>
  <c r="K718" i="3" l="1"/>
  <c r="AE718" i="3" s="1"/>
  <c r="D718" i="3"/>
  <c r="V718" i="3" l="1"/>
  <c r="A719" i="3"/>
  <c r="B719" i="3" s="1"/>
  <c r="F718" i="3"/>
  <c r="G718" i="3"/>
  <c r="I718" i="3" l="1"/>
  <c r="W718" i="3" s="1"/>
  <c r="J718" i="3"/>
  <c r="M718" i="3"/>
  <c r="N718" i="3" s="1"/>
  <c r="AD719" i="3"/>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M719" i="3"/>
  <c r="N719" i="3" s="1"/>
  <c r="V719" i="3"/>
  <c r="A720" i="3"/>
  <c r="B720" i="3" s="1"/>
  <c r="W719" i="3" l="1"/>
  <c r="L719" i="3"/>
  <c r="P720" i="3"/>
  <c r="Q720" i="3" s="1"/>
  <c r="R720" i="3" s="1"/>
  <c r="S720" i="3" s="1"/>
  <c r="AA720" i="3"/>
  <c r="AC720" i="3"/>
  <c r="Z720" i="3"/>
  <c r="AD720" i="3"/>
  <c r="U719" i="3" l="1"/>
  <c r="Y718" i="3"/>
  <c r="T720" i="3"/>
  <c r="AG720" i="3" s="1"/>
  <c r="E720" i="3" l="1"/>
  <c r="H720" i="3" s="1"/>
  <c r="K720" i="3" s="1"/>
  <c r="AE720" i="3" s="1"/>
  <c r="D720" i="3"/>
  <c r="AH720" i="3"/>
  <c r="V720" i="3" l="1"/>
  <c r="A721" i="3"/>
  <c r="B721" i="3" s="1"/>
  <c r="F720" i="3"/>
  <c r="G720" i="3"/>
  <c r="I720" i="3" l="1"/>
  <c r="W720" i="3" s="1"/>
  <c r="J720" i="3"/>
  <c r="M720" i="3"/>
  <c r="N720" i="3" s="1"/>
  <c r="AD721" i="3"/>
  <c r="AA721" i="3"/>
  <c r="Z721" i="3"/>
  <c r="AC721" i="3"/>
  <c r="P721" i="3"/>
  <c r="Q721" i="3" s="1"/>
  <c r="R721" i="3" s="1"/>
  <c r="S721" i="3" s="1"/>
  <c r="T721" i="3" l="1"/>
  <c r="L720" i="3"/>
  <c r="AG721" i="3" l="1"/>
  <c r="U720" i="3"/>
  <c r="D721" i="3" s="1"/>
  <c r="AH721" i="3"/>
  <c r="Y719" i="3"/>
  <c r="G721" i="3" l="1"/>
  <c r="E721" i="3"/>
  <c r="H721" i="3" s="1"/>
  <c r="F721" i="3" l="1"/>
  <c r="I721" i="3"/>
  <c r="J721" i="3"/>
  <c r="M721" i="3"/>
  <c r="N721" i="3" s="1"/>
  <c r="K721" i="3"/>
  <c r="AE721" i="3" s="1"/>
  <c r="V721" i="3" l="1"/>
  <c r="W721" i="3" s="1"/>
  <c r="A722" i="3"/>
  <c r="B722" i="3" s="1"/>
  <c r="L721" i="3"/>
  <c r="U721" i="3" l="1"/>
  <c r="Y720" i="3"/>
  <c r="AA722" i="3"/>
  <c r="AC722" i="3"/>
  <c r="P722" i="3"/>
  <c r="Q722" i="3" s="1"/>
  <c r="R722" i="3" s="1"/>
  <c r="S722" i="3" s="1"/>
  <c r="Z722" i="3"/>
  <c r="AD722" i="3"/>
  <c r="T722" i="3" l="1"/>
  <c r="AH722" i="3" s="1"/>
  <c r="E722" i="3" l="1"/>
  <c r="H722" i="3" s="1"/>
  <c r="K722" i="3" s="1"/>
  <c r="AE722" i="3" s="1"/>
  <c r="D722" i="3"/>
  <c r="AG722" i="3"/>
  <c r="V722" i="3" l="1"/>
  <c r="A723" i="3"/>
  <c r="B723" i="3" s="1"/>
  <c r="F722" i="3"/>
  <c r="G722" i="3"/>
  <c r="I722" i="3" l="1"/>
  <c r="W722" i="3" s="1"/>
  <c r="J722" i="3"/>
  <c r="M722" i="3"/>
  <c r="N722" i="3" s="1"/>
  <c r="Z723" i="3"/>
  <c r="AA723" i="3"/>
  <c r="AC723" i="3"/>
  <c r="P723" i="3"/>
  <c r="Q723" i="3" s="1"/>
  <c r="R723" i="3" s="1"/>
  <c r="S723" i="3" s="1"/>
  <c r="AD723" i="3"/>
  <c r="T723" i="3" l="1"/>
  <c r="L722" i="3"/>
  <c r="U722" i="3" l="1"/>
  <c r="E723" i="3" s="1"/>
  <c r="H723" i="3" s="1"/>
  <c r="AG723" i="3"/>
  <c r="AH723" i="3"/>
  <c r="Y721" i="3"/>
  <c r="D723" i="3" l="1"/>
  <c r="G723" i="3" s="1"/>
  <c r="K723" i="3"/>
  <c r="AE723" i="3" s="1"/>
  <c r="F723" i="3" l="1"/>
  <c r="V723" i="3"/>
  <c r="A724" i="3"/>
  <c r="B724" i="3" s="1"/>
  <c r="I723" i="3"/>
  <c r="J723" i="3"/>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AD725" i="3"/>
  <c r="U724" i="3" l="1"/>
  <c r="Y723" i="3"/>
  <c r="T725" i="3"/>
  <c r="AG725" i="3" s="1"/>
  <c r="AH725" i="3" l="1"/>
  <c r="D725" i="3"/>
  <c r="G725" i="3" s="1"/>
  <c r="E725" i="3"/>
  <c r="H725" i="3" s="1"/>
  <c r="F725" i="3" l="1"/>
  <c r="I725" i="3"/>
  <c r="J725" i="3"/>
  <c r="M725" i="3"/>
  <c r="N725" i="3" s="1"/>
  <c r="K725" i="3"/>
  <c r="AE725" i="3" s="1"/>
  <c r="V725" i="3" l="1"/>
  <c r="W725" i="3" s="1"/>
  <c r="A726" i="3"/>
  <c r="B726" i="3" s="1"/>
  <c r="L725" i="3"/>
  <c r="U725" i="3" l="1"/>
  <c r="Y724" i="3"/>
  <c r="Z726" i="3"/>
  <c r="P726" i="3"/>
  <c r="Q726" i="3" s="1"/>
  <c r="R726" i="3" s="1"/>
  <c r="S726" i="3" s="1"/>
  <c r="AA726" i="3"/>
  <c r="AD726" i="3"/>
  <c r="AC726" i="3"/>
  <c r="T726" i="3" l="1"/>
  <c r="AG726" i="3" s="1"/>
  <c r="D726" i="3" l="1"/>
  <c r="G726" i="3" s="1"/>
  <c r="E726" i="3"/>
  <c r="H726" i="3" s="1"/>
  <c r="K726" i="3" s="1"/>
  <c r="AE726" i="3" s="1"/>
  <c r="AH726" i="3"/>
  <c r="F726" i="3" l="1"/>
  <c r="I726" i="3"/>
  <c r="J726" i="3"/>
  <c r="M726" i="3"/>
  <c r="N726" i="3" s="1"/>
  <c r="V726" i="3"/>
  <c r="A727" i="3"/>
  <c r="B727" i="3" s="1"/>
  <c r="W726" i="3" l="1"/>
  <c r="L726" i="3"/>
  <c r="P727" i="3"/>
  <c r="Q727" i="3" s="1"/>
  <c r="R727" i="3" s="1"/>
  <c r="S727" i="3" s="1"/>
  <c r="Z727" i="3"/>
  <c r="AA727" i="3"/>
  <c r="AC727" i="3"/>
  <c r="AD727" i="3"/>
  <c r="U726" i="3" l="1"/>
  <c r="Y725" i="3"/>
  <c r="T727" i="3"/>
  <c r="AH727" i="3" s="1"/>
  <c r="E727" i="3" l="1"/>
  <c r="H727" i="3" s="1"/>
  <c r="K727" i="3" s="1"/>
  <c r="AE727" i="3" s="1"/>
  <c r="D727" i="3"/>
  <c r="AG727" i="3"/>
  <c r="F727" i="3" l="1"/>
  <c r="G727" i="3"/>
  <c r="M727" i="3" s="1"/>
  <c r="N727" i="3" s="1"/>
  <c r="V727" i="3"/>
  <c r="A728" i="3"/>
  <c r="B728" i="3" s="1"/>
  <c r="I727" i="3" l="1"/>
  <c r="W727" i="3" s="1"/>
  <c r="J727" i="3"/>
  <c r="L727" i="3" s="1"/>
  <c r="AA728" i="3"/>
  <c r="P728" i="3"/>
  <c r="Q728" i="3" s="1"/>
  <c r="R728" i="3" s="1"/>
  <c r="S728" i="3" s="1"/>
  <c r="AC728" i="3"/>
  <c r="Z728" i="3"/>
  <c r="AD728" i="3"/>
  <c r="U727" i="3" l="1"/>
  <c r="Y726" i="3"/>
  <c r="T728" i="3"/>
  <c r="D728" i="3" l="1"/>
  <c r="G728" i="3" s="1"/>
  <c r="AG728" i="3"/>
  <c r="E728" i="3"/>
  <c r="H728" i="3" s="1"/>
  <c r="AH728" i="3"/>
  <c r="F728" i="3" l="1"/>
  <c r="I728" i="3"/>
  <c r="J728" i="3"/>
  <c r="M728" i="3"/>
  <c r="N728" i="3" s="1"/>
  <c r="K728" i="3"/>
  <c r="AE728" i="3" s="1"/>
  <c r="V728" i="3" l="1"/>
  <c r="W728" i="3" s="1"/>
  <c r="A729" i="3"/>
  <c r="B729" i="3" s="1"/>
  <c r="L728" i="3"/>
  <c r="U728" i="3" l="1"/>
  <c r="Y727" i="3"/>
  <c r="P729" i="3"/>
  <c r="Q729" i="3" s="1"/>
  <c r="R729" i="3" s="1"/>
  <c r="S729" i="3" s="1"/>
  <c r="AA729" i="3"/>
  <c r="AD729" i="3"/>
  <c r="AC729" i="3"/>
  <c r="Z729" i="3"/>
  <c r="T729" i="3" l="1"/>
  <c r="E729" i="3" s="1"/>
  <c r="H729" i="3" s="1"/>
  <c r="AH729" i="3" l="1"/>
  <c r="D729" i="3"/>
  <c r="F729" i="3" s="1"/>
  <c r="AG729" i="3"/>
  <c r="K729" i="3"/>
  <c r="AE729" i="3" s="1"/>
  <c r="G729" i="3" l="1"/>
  <c r="I729" i="3" s="1"/>
  <c r="V729" i="3"/>
  <c r="A730" i="3"/>
  <c r="B730" i="3" s="1"/>
  <c r="W729" i="3" l="1"/>
  <c r="J729" i="3"/>
  <c r="L729" i="3" s="1"/>
  <c r="M729" i="3"/>
  <c r="N729" i="3" s="1"/>
  <c r="AA730" i="3"/>
  <c r="Z730" i="3"/>
  <c r="AD730" i="3"/>
  <c r="P730" i="3"/>
  <c r="Q730" i="3" s="1"/>
  <c r="R730" i="3" s="1"/>
  <c r="S730" i="3" s="1"/>
  <c r="AC730" i="3"/>
  <c r="U729" i="3" l="1"/>
  <c r="Y728" i="3"/>
  <c r="T730" i="3"/>
  <c r="AG730" i="3" s="1"/>
  <c r="D730" i="3" l="1"/>
  <c r="E730" i="3"/>
  <c r="H730" i="3" s="1"/>
  <c r="AH730" i="3"/>
  <c r="K730" i="3" l="1"/>
  <c r="AE730" i="3" s="1"/>
  <c r="F730" i="3"/>
  <c r="G730" i="3"/>
  <c r="I730" i="3" l="1"/>
  <c r="J730" i="3"/>
  <c r="M730" i="3"/>
  <c r="N730" i="3" s="1"/>
  <c r="V730" i="3"/>
  <c r="A731" i="3"/>
  <c r="B731" i="3" s="1"/>
  <c r="W730" i="3" l="1"/>
  <c r="L730" i="3"/>
  <c r="P731" i="3"/>
  <c r="Q731" i="3" s="1"/>
  <c r="R731" i="3" s="1"/>
  <c r="S731" i="3" s="1"/>
  <c r="Z731" i="3"/>
  <c r="AA731" i="3"/>
  <c r="AD731" i="3"/>
  <c r="AC731" i="3"/>
  <c r="U730" i="3" l="1"/>
  <c r="Y729" i="3"/>
  <c r="T731" i="3"/>
  <c r="AG731" i="3" s="1"/>
  <c r="E731" i="3" l="1"/>
  <c r="H731" i="3" s="1"/>
  <c r="K731" i="3" s="1"/>
  <c r="AE731" i="3" s="1"/>
  <c r="AH731" i="3"/>
  <c r="D731" i="3"/>
  <c r="F731" i="3" l="1"/>
  <c r="G731" i="3"/>
  <c r="J731" i="3" s="1"/>
  <c r="V731" i="3"/>
  <c r="A732" i="3"/>
  <c r="B732" i="3" s="1"/>
  <c r="M731" i="3" l="1"/>
  <c r="N731" i="3" s="1"/>
  <c r="I731" i="3"/>
  <c r="W731" i="3" s="1"/>
  <c r="L731" i="3"/>
  <c r="AC732" i="3"/>
  <c r="Z732" i="3"/>
  <c r="AD732" i="3"/>
  <c r="AA732" i="3"/>
  <c r="P732" i="3"/>
  <c r="Q732" i="3" s="1"/>
  <c r="R732" i="3" s="1"/>
  <c r="S732" i="3" s="1"/>
  <c r="U731" i="3" l="1"/>
  <c r="Y730" i="3"/>
  <c r="T732" i="3"/>
  <c r="E732" i="3" l="1"/>
  <c r="H732" i="3" s="1"/>
  <c r="K732" i="3" s="1"/>
  <c r="AE732" i="3" s="1"/>
  <c r="D732" i="3"/>
  <c r="G732" i="3" s="1"/>
  <c r="AH732" i="3"/>
  <c r="AG732" i="3"/>
  <c r="F732" i="3" l="1"/>
  <c r="I732" i="3"/>
  <c r="J732" i="3"/>
  <c r="M732" i="3"/>
  <c r="N732" i="3" s="1"/>
  <c r="V732" i="3"/>
  <c r="A733" i="3"/>
  <c r="B733" i="3" s="1"/>
  <c r="W732" i="3" l="1"/>
  <c r="L732" i="3"/>
  <c r="AC733" i="3"/>
  <c r="P733" i="3"/>
  <c r="Q733" i="3" s="1"/>
  <c r="R733" i="3" s="1"/>
  <c r="S733" i="3" s="1"/>
  <c r="AA733" i="3"/>
  <c r="Z733" i="3"/>
  <c r="AD733" i="3"/>
  <c r="T733" i="3" l="1"/>
  <c r="AH733" i="3" s="1"/>
  <c r="U732" i="3"/>
  <c r="Y731" i="3"/>
  <c r="D733" i="3" l="1"/>
  <c r="G733" i="3" s="1"/>
  <c r="E733" i="3"/>
  <c r="H733" i="3" s="1"/>
  <c r="AG733" i="3"/>
  <c r="F733" i="3" l="1"/>
  <c r="I733" i="3"/>
  <c r="J733" i="3"/>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AD735" i="3"/>
  <c r="L734" i="3" l="1"/>
  <c r="Y733" i="3" s="1"/>
  <c r="AD734" i="3"/>
  <c r="T735" i="3"/>
  <c r="U734" i="3" l="1"/>
  <c r="E735" i="3" s="1"/>
  <c r="H735" i="3" s="1"/>
  <c r="AH735" i="3"/>
  <c r="AG735" i="3"/>
  <c r="D735" i="3" l="1"/>
  <c r="G735" i="3" s="1"/>
  <c r="M735" i="3" s="1"/>
  <c r="N735" i="3" s="1"/>
  <c r="K735" i="3"/>
  <c r="AE735" i="3" s="1"/>
  <c r="F735" i="3" l="1"/>
  <c r="I735" i="3"/>
  <c r="J735" i="3"/>
  <c r="L735" i="3" s="1"/>
  <c r="V735" i="3"/>
  <c r="A736" i="3"/>
  <c r="B736" i="3" s="1"/>
  <c r="W735" i="3" l="1"/>
  <c r="U735" i="3"/>
  <c r="Y734" i="3"/>
  <c r="Z736" i="3"/>
  <c r="P736" i="3"/>
  <c r="Q736" i="3" s="1"/>
  <c r="R736" i="3" s="1"/>
  <c r="S736" i="3" s="1"/>
  <c r="AA736" i="3"/>
  <c r="AD736" i="3"/>
  <c r="AC736" i="3"/>
  <c r="T736" i="3" l="1"/>
  <c r="E736" i="3" s="1"/>
  <c r="H736" i="3" s="1"/>
  <c r="AH736" i="3" l="1"/>
  <c r="D736" i="3"/>
  <c r="F736" i="3" s="1"/>
  <c r="K736" i="3"/>
  <c r="AE736" i="3" s="1"/>
  <c r="AG736" i="3"/>
  <c r="G736" i="3" l="1"/>
  <c r="M736" i="3" s="1"/>
  <c r="N736" i="3" s="1"/>
  <c r="V736" i="3"/>
  <c r="A737" i="3"/>
  <c r="B737" i="3" s="1"/>
  <c r="I736" i="3" l="1"/>
  <c r="W736" i="3" s="1"/>
  <c r="J736" i="3"/>
  <c r="L736" i="3" s="1"/>
  <c r="AC737" i="3"/>
  <c r="P737" i="3"/>
  <c r="Q737" i="3" s="1"/>
  <c r="R737" i="3" s="1"/>
  <c r="S737" i="3" s="1"/>
  <c r="AD737" i="3"/>
  <c r="Z737" i="3"/>
  <c r="AA737" i="3"/>
  <c r="U736" i="3" l="1"/>
  <c r="Y735" i="3"/>
  <c r="T737" i="3"/>
  <c r="AH737" i="3" s="1"/>
  <c r="D737" i="3" l="1"/>
  <c r="E737" i="3"/>
  <c r="H737" i="3" s="1"/>
  <c r="AG737" i="3"/>
  <c r="F737" i="3" l="1"/>
  <c r="G737" i="3"/>
  <c r="K737" i="3"/>
  <c r="AE737" i="3" s="1"/>
  <c r="V737" i="3" l="1"/>
  <c r="A738" i="3"/>
  <c r="B738" i="3" s="1"/>
  <c r="I737" i="3"/>
  <c r="J737" i="3"/>
  <c r="M737" i="3"/>
  <c r="N737" i="3" s="1"/>
  <c r="W737" i="3" l="1"/>
  <c r="L737" i="3"/>
  <c r="AA738" i="3"/>
  <c r="P738" i="3"/>
  <c r="Q738" i="3" s="1"/>
  <c r="R738" i="3" s="1"/>
  <c r="S738" i="3" s="1"/>
  <c r="AC738" i="3"/>
  <c r="Z738" i="3"/>
  <c r="AD738" i="3"/>
  <c r="U737" i="3" l="1"/>
  <c r="Y736" i="3"/>
  <c r="T738" i="3"/>
  <c r="E738" i="3" l="1"/>
  <c r="H738" i="3" s="1"/>
  <c r="K738" i="3" s="1"/>
  <c r="AE738" i="3" s="1"/>
  <c r="D738" i="3"/>
  <c r="AG738" i="3"/>
  <c r="AH738" i="3"/>
  <c r="V738" i="3" l="1"/>
  <c r="A739" i="3"/>
  <c r="B739" i="3" s="1"/>
  <c r="F738" i="3"/>
  <c r="G738" i="3"/>
  <c r="I738" i="3" l="1"/>
  <c r="W738" i="3" s="1"/>
  <c r="J738" i="3"/>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AD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L745" i="3" s="1"/>
  <c r="Z746" i="3"/>
  <c r="AD746" i="3"/>
  <c r="P746" i="3"/>
  <c r="Q746" i="3" s="1"/>
  <c r="R746" i="3" s="1"/>
  <c r="S746" i="3" s="1"/>
  <c r="AA746" i="3"/>
  <c r="AC746" i="3"/>
  <c r="U745" i="3" l="1"/>
  <c r="Y744" i="3"/>
  <c r="T746" i="3"/>
  <c r="D746" i="3" l="1"/>
  <c r="G746" i="3" s="1"/>
  <c r="AG746" i="3"/>
  <c r="E746" i="3"/>
  <c r="H746" i="3" s="1"/>
  <c r="AH746" i="3"/>
  <c r="F746" i="3" l="1"/>
  <c r="I746" i="3"/>
  <c r="J746" i="3"/>
  <c r="M746" i="3"/>
  <c r="N746" i="3" s="1"/>
  <c r="K746" i="3"/>
  <c r="AE746" i="3" s="1"/>
  <c r="V746" i="3" l="1"/>
  <c r="W746" i="3" s="1"/>
  <c r="A747" i="3"/>
  <c r="B747" i="3" s="1"/>
  <c r="L746" i="3"/>
  <c r="U746" i="3" l="1"/>
  <c r="Y745" i="3"/>
  <c r="AA747" i="3"/>
  <c r="AD747" i="3"/>
  <c r="Z747" i="3"/>
  <c r="AC747" i="3"/>
  <c r="P747" i="3"/>
  <c r="Q747" i="3" s="1"/>
  <c r="R747" i="3" s="1"/>
  <c r="S747" i="3" s="1"/>
  <c r="T747" i="3" l="1"/>
  <c r="D747" i="3" s="1"/>
  <c r="AG747" i="3" l="1"/>
  <c r="E747" i="3"/>
  <c r="H747" i="3" s="1"/>
  <c r="K747" i="3" s="1"/>
  <c r="AE747" i="3" s="1"/>
  <c r="AH747" i="3"/>
  <c r="G747" i="3"/>
  <c r="F747" i="3" l="1"/>
  <c r="I747" i="3"/>
  <c r="J747" i="3"/>
  <c r="M747" i="3"/>
  <c r="N747" i="3" s="1"/>
  <c r="V747" i="3"/>
  <c r="A748" i="3"/>
  <c r="B748" i="3" s="1"/>
  <c r="W747" i="3" l="1"/>
  <c r="L747" i="3"/>
  <c r="AC748" i="3"/>
  <c r="P748" i="3"/>
  <c r="Q748" i="3" s="1"/>
  <c r="R748" i="3" s="1"/>
  <c r="S748" i="3" s="1"/>
  <c r="AD748" i="3"/>
  <c r="Z748" i="3"/>
  <c r="AA748" i="3"/>
  <c r="U747" i="3" l="1"/>
  <c r="Y746" i="3"/>
  <c r="T748" i="3"/>
  <c r="E748" i="3" l="1"/>
  <c r="H748" i="3" s="1"/>
  <c r="K748" i="3" s="1"/>
  <c r="AE748" i="3" s="1"/>
  <c r="D748" i="3"/>
  <c r="AH748" i="3"/>
  <c r="AG748" i="3"/>
  <c r="V748" i="3" l="1"/>
  <c r="A749" i="3"/>
  <c r="B749" i="3" s="1"/>
  <c r="F748" i="3"/>
  <c r="G748" i="3"/>
  <c r="I748" i="3" l="1"/>
  <c r="W748" i="3" s="1"/>
  <c r="J748" i="3"/>
  <c r="M748" i="3"/>
  <c r="N748" i="3" s="1"/>
  <c r="AA749" i="3"/>
  <c r="Z749" i="3"/>
  <c r="P749" i="3"/>
  <c r="Q749" i="3" s="1"/>
  <c r="R749" i="3" s="1"/>
  <c r="S749" i="3" s="1"/>
  <c r="AC749" i="3"/>
  <c r="AD749" i="3"/>
  <c r="T749" i="3" l="1"/>
  <c r="L748" i="3"/>
  <c r="U748" i="3" l="1"/>
  <c r="E749" i="3" s="1"/>
  <c r="H749" i="3" s="1"/>
  <c r="AG749" i="3"/>
  <c r="AH749" i="3"/>
  <c r="Y747" i="3"/>
  <c r="K749" i="3" l="1"/>
  <c r="AE749" i="3" s="1"/>
  <c r="D749" i="3"/>
  <c r="V749" i="3" l="1"/>
  <c r="A750" i="3"/>
  <c r="B750" i="3" s="1"/>
  <c r="F749" i="3"/>
  <c r="G749" i="3"/>
  <c r="I749" i="3" l="1"/>
  <c r="W749" i="3" s="1"/>
  <c r="J749" i="3"/>
  <c r="M749" i="3"/>
  <c r="N749" i="3" s="1"/>
  <c r="AA750" i="3"/>
  <c r="AC750" i="3"/>
  <c r="Z750" i="3"/>
  <c r="AD750" i="3"/>
  <c r="P750" i="3"/>
  <c r="Q750" i="3" s="1"/>
  <c r="R750" i="3" s="1"/>
  <c r="S750" i="3" s="1"/>
  <c r="T750" i="3" l="1"/>
  <c r="L749" i="3"/>
  <c r="AH750" i="3" l="1"/>
  <c r="AG750" i="3"/>
  <c r="U749" i="3"/>
  <c r="D750" i="3" s="1"/>
  <c r="Y748" i="3"/>
  <c r="G750" i="3" l="1"/>
  <c r="E750" i="3"/>
  <c r="H750" i="3" s="1"/>
  <c r="F750" i="3" l="1"/>
  <c r="I750" i="3"/>
  <c r="J750" i="3"/>
  <c r="M750" i="3"/>
  <c r="N750" i="3" s="1"/>
  <c r="K750" i="3"/>
  <c r="AE750" i="3" s="1"/>
  <c r="V750" i="3" l="1"/>
  <c r="W750" i="3" s="1"/>
  <c r="A751" i="3"/>
  <c r="B751" i="3" s="1"/>
  <c r="L750" i="3"/>
  <c r="U750" i="3" l="1"/>
  <c r="Y749" i="3"/>
  <c r="P751" i="3"/>
  <c r="Q751" i="3" s="1"/>
  <c r="R751" i="3" s="1"/>
  <c r="S751" i="3" s="1"/>
  <c r="Z751" i="3"/>
  <c r="AA751" i="3"/>
  <c r="AC751" i="3"/>
  <c r="AD751" i="3"/>
  <c r="T751" i="3" l="1"/>
  <c r="AH751" i="3" s="1"/>
  <c r="E751" i="3" l="1"/>
  <c r="H751" i="3" s="1"/>
  <c r="K751" i="3" s="1"/>
  <c r="AE751" i="3" s="1"/>
  <c r="AG751" i="3"/>
  <c r="D751" i="3"/>
  <c r="F751" i="3" l="1"/>
  <c r="G751" i="3"/>
  <c r="V751" i="3"/>
  <c r="A752" i="3"/>
  <c r="B752" i="3" s="1"/>
  <c r="AA752" i="3" l="1"/>
  <c r="AD752" i="3"/>
  <c r="Z752" i="3"/>
  <c r="AC752" i="3"/>
  <c r="P752" i="3"/>
  <c r="Q752" i="3" s="1"/>
  <c r="R752" i="3" s="1"/>
  <c r="S752" i="3" s="1"/>
  <c r="I751" i="3"/>
  <c r="W751" i="3" s="1"/>
  <c r="J751" i="3"/>
  <c r="M751" i="3"/>
  <c r="N751" i="3" s="1"/>
  <c r="L751" i="3" l="1"/>
  <c r="T752" i="3"/>
  <c r="U751" i="3" l="1"/>
  <c r="E752" i="3" s="1"/>
  <c r="H752" i="3" s="1"/>
  <c r="AG752" i="3"/>
  <c r="AH752" i="3"/>
  <c r="Y750" i="3"/>
  <c r="K752" i="3" l="1"/>
  <c r="AE752" i="3" s="1"/>
  <c r="D752" i="3"/>
  <c r="V752" i="3" l="1"/>
  <c r="A753" i="3"/>
  <c r="B753" i="3" s="1"/>
  <c r="F752" i="3"/>
  <c r="G752" i="3"/>
  <c r="I752" i="3" l="1"/>
  <c r="W752" i="3" s="1"/>
  <c r="J752" i="3"/>
  <c r="M752" i="3"/>
  <c r="N752" i="3" s="1"/>
  <c r="AD753" i="3"/>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D755"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AD756" i="3"/>
  <c r="I755" i="3"/>
  <c r="W755" i="3" s="1"/>
  <c r="J755" i="3"/>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L756" i="3" s="1"/>
  <c r="AD757" i="3"/>
  <c r="AC757" i="3"/>
  <c r="P757" i="3"/>
  <c r="Q757" i="3" s="1"/>
  <c r="R757" i="3" s="1"/>
  <c r="S757" i="3" s="1"/>
  <c r="Z757" i="3"/>
  <c r="AA757" i="3"/>
  <c r="T757" i="3" l="1"/>
  <c r="U756" i="3"/>
  <c r="Y755" i="3"/>
  <c r="E757" i="3" l="1"/>
  <c r="H757" i="3" s="1"/>
  <c r="K757" i="3" s="1"/>
  <c r="AE757" i="3" s="1"/>
  <c r="AH757" i="3"/>
  <c r="D757" i="3"/>
  <c r="AG757" i="3"/>
  <c r="V757" i="3" l="1"/>
  <c r="A758" i="3"/>
  <c r="B758" i="3" s="1"/>
  <c r="F757" i="3"/>
  <c r="G757" i="3"/>
  <c r="I757" i="3" l="1"/>
  <c r="W757" i="3" s="1"/>
  <c r="J757" i="3"/>
  <c r="M757" i="3"/>
  <c r="N757" i="3" s="1"/>
  <c r="AA758" i="3"/>
  <c r="Z758" i="3"/>
  <c r="AD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M758" i="3"/>
  <c r="N758" i="3" s="1"/>
  <c r="L758" i="3" l="1"/>
  <c r="W758" i="3"/>
  <c r="AD759" i="3"/>
  <c r="P759" i="3"/>
  <c r="Q759" i="3" s="1"/>
  <c r="R759" i="3" s="1"/>
  <c r="S759" i="3" s="1"/>
  <c r="Z759" i="3"/>
  <c r="AA759" i="3"/>
  <c r="AC759" i="3"/>
  <c r="U758" i="3" l="1"/>
  <c r="Y757" i="3"/>
  <c r="T759" i="3"/>
  <c r="D759" i="3" l="1"/>
  <c r="G759" i="3" s="1"/>
  <c r="AG759" i="3"/>
  <c r="E759" i="3"/>
  <c r="H759" i="3" s="1"/>
  <c r="AH759" i="3"/>
  <c r="F759" i="3" l="1"/>
  <c r="I759" i="3"/>
  <c r="J759" i="3"/>
  <c r="M759" i="3"/>
  <c r="N759" i="3" s="1"/>
  <c r="K759" i="3"/>
  <c r="AE759" i="3" s="1"/>
  <c r="V759" i="3" l="1"/>
  <c r="W759" i="3" s="1"/>
  <c r="A760" i="3"/>
  <c r="B760" i="3" s="1"/>
  <c r="L759" i="3"/>
  <c r="U759" i="3" l="1"/>
  <c r="Y758" i="3"/>
  <c r="AA760" i="3"/>
  <c r="AC760" i="3"/>
  <c r="Z760" i="3"/>
  <c r="P760" i="3"/>
  <c r="Q760" i="3" s="1"/>
  <c r="R760" i="3" s="1"/>
  <c r="S760" i="3" s="1"/>
  <c r="AD760" i="3"/>
  <c r="T760" i="3" l="1"/>
  <c r="E760" i="3" s="1"/>
  <c r="H760" i="3" s="1"/>
  <c r="AH760" i="3" l="1"/>
  <c r="AG760" i="3"/>
  <c r="D760" i="3"/>
  <c r="G760" i="3" s="1"/>
  <c r="K760" i="3"/>
  <c r="AE760" i="3" s="1"/>
  <c r="F760" i="3" l="1"/>
  <c r="I760" i="3"/>
  <c r="J760" i="3"/>
  <c r="M760" i="3"/>
  <c r="N760" i="3" s="1"/>
  <c r="V760" i="3"/>
  <c r="A761" i="3"/>
  <c r="B761" i="3" s="1"/>
  <c r="W760" i="3" l="1"/>
  <c r="L760" i="3"/>
  <c r="P761" i="3"/>
  <c r="Q761" i="3" s="1"/>
  <c r="R761" i="3" s="1"/>
  <c r="S761" i="3" s="1"/>
  <c r="Z761" i="3"/>
  <c r="AA761" i="3"/>
  <c r="AD761" i="3"/>
  <c r="AC761" i="3"/>
  <c r="T761" i="3" l="1"/>
  <c r="U760" i="3"/>
  <c r="Y759" i="3"/>
  <c r="D761" i="3" l="1"/>
  <c r="G761" i="3" s="1"/>
  <c r="AG761" i="3"/>
  <c r="AH761" i="3"/>
  <c r="E761" i="3"/>
  <c r="H761" i="3" s="1"/>
  <c r="F761" i="3" l="1"/>
  <c r="I761" i="3"/>
  <c r="J761" i="3"/>
  <c r="M761" i="3"/>
  <c r="N761" i="3" s="1"/>
  <c r="K761" i="3"/>
  <c r="AE761" i="3" s="1"/>
  <c r="V761" i="3" l="1"/>
  <c r="W761" i="3" s="1"/>
  <c r="A762" i="3"/>
  <c r="B762" i="3" s="1"/>
  <c r="L761" i="3"/>
  <c r="U761" i="3" l="1"/>
  <c r="Y760" i="3"/>
  <c r="AA762" i="3"/>
  <c r="Z762" i="3"/>
  <c r="AC762" i="3"/>
  <c r="P762" i="3"/>
  <c r="Q762" i="3" s="1"/>
  <c r="R762" i="3" s="1"/>
  <c r="S762" i="3" s="1"/>
  <c r="AD762" i="3"/>
  <c r="T762" i="3" l="1"/>
  <c r="D762" i="3" s="1"/>
  <c r="E762" i="3" l="1"/>
  <c r="H762" i="3" s="1"/>
  <c r="K762" i="3" s="1"/>
  <c r="AE762" i="3" s="1"/>
  <c r="AH762" i="3"/>
  <c r="AG762" i="3"/>
  <c r="G762" i="3"/>
  <c r="F762" i="3" l="1"/>
  <c r="I762" i="3"/>
  <c r="J762" i="3"/>
  <c r="M762" i="3"/>
  <c r="N762" i="3" s="1"/>
  <c r="V762" i="3"/>
  <c r="A763" i="3"/>
  <c r="B763" i="3" s="1"/>
  <c r="W762" i="3" l="1"/>
  <c r="L762" i="3"/>
  <c r="AC763" i="3"/>
  <c r="Z763" i="3"/>
  <c r="AA763" i="3"/>
  <c r="P763" i="3"/>
  <c r="Q763" i="3" s="1"/>
  <c r="R763" i="3" s="1"/>
  <c r="S763" i="3" s="1"/>
  <c r="AD763" i="3"/>
  <c r="U762" i="3" l="1"/>
  <c r="Y761" i="3"/>
  <c r="T763" i="3"/>
  <c r="D763" i="3" l="1"/>
  <c r="G763" i="3" s="1"/>
  <c r="AG763" i="3"/>
  <c r="AH763" i="3"/>
  <c r="E763" i="3"/>
  <c r="H763" i="3" s="1"/>
  <c r="K763" i="3" s="1"/>
  <c r="AE763" i="3" s="1"/>
  <c r="F763" i="3" l="1"/>
  <c r="I763" i="3"/>
  <c r="J763" i="3"/>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AD765" i="3"/>
  <c r="I764" i="3"/>
  <c r="W764" i="3" s="1"/>
  <c r="J764" i="3"/>
  <c r="AD764" i="3" s="1"/>
  <c r="M764" i="3"/>
  <c r="N764" i="3" s="1"/>
  <c r="T765" i="3" l="1"/>
  <c r="L764" i="3"/>
  <c r="AG765" i="3" l="1"/>
  <c r="AH765" i="3"/>
  <c r="U764" i="3"/>
  <c r="D765" i="3" s="1"/>
  <c r="Y763" i="3"/>
  <c r="E765" i="3" l="1"/>
  <c r="H765" i="3" s="1"/>
  <c r="K765" i="3" s="1"/>
  <c r="AE765" i="3" s="1"/>
  <c r="G765" i="3"/>
  <c r="F765" i="3" l="1"/>
  <c r="I765" i="3"/>
  <c r="J765" i="3"/>
  <c r="M765" i="3"/>
  <c r="N765" i="3" s="1"/>
  <c r="V765" i="3"/>
  <c r="A766" i="3"/>
  <c r="B766" i="3" s="1"/>
  <c r="W765" i="3" l="1"/>
  <c r="L765" i="3"/>
  <c r="AD766"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M766" i="3"/>
  <c r="N766" i="3" s="1"/>
  <c r="P767" i="3"/>
  <c r="Q767" i="3" s="1"/>
  <c r="R767" i="3" s="1"/>
  <c r="S767" i="3" s="1"/>
  <c r="AC767" i="3"/>
  <c r="AD767" i="3"/>
  <c r="AA767" i="3"/>
  <c r="Z767" i="3"/>
  <c r="T767" i="3" l="1"/>
  <c r="L766" i="3"/>
  <c r="AH767" i="3" l="1"/>
  <c r="AG767" i="3"/>
  <c r="U766" i="3"/>
  <c r="D767" i="3" s="1"/>
  <c r="Y765" i="3"/>
  <c r="E767" i="3" l="1"/>
  <c r="H767" i="3" s="1"/>
  <c r="K767" i="3" s="1"/>
  <c r="AE767" i="3" s="1"/>
  <c r="G767" i="3"/>
  <c r="F767" i="3" l="1"/>
  <c r="I767" i="3"/>
  <c r="J767" i="3"/>
  <c r="M767" i="3"/>
  <c r="N767" i="3" s="1"/>
  <c r="V767" i="3"/>
  <c r="A768" i="3"/>
  <c r="B768" i="3" s="1"/>
  <c r="W767" i="3" l="1"/>
  <c r="L767" i="3"/>
  <c r="AC768" i="3"/>
  <c r="AA768" i="3"/>
  <c r="AD768" i="3"/>
  <c r="P768" i="3"/>
  <c r="Q768" i="3" s="1"/>
  <c r="R768" i="3" s="1"/>
  <c r="S768" i="3" s="1"/>
  <c r="Z768" i="3"/>
  <c r="T768" i="3" l="1"/>
  <c r="AG768" i="3" s="1"/>
  <c r="U767" i="3"/>
  <c r="Y766" i="3"/>
  <c r="D768" i="3" l="1"/>
  <c r="G768" i="3" s="1"/>
  <c r="AH768" i="3"/>
  <c r="E768" i="3"/>
  <c r="H768" i="3" s="1"/>
  <c r="K768" i="3" l="1"/>
  <c r="AE768" i="3" s="1"/>
  <c r="I768" i="3"/>
  <c r="J768" i="3"/>
  <c r="M768" i="3"/>
  <c r="N768" i="3" s="1"/>
  <c r="F768" i="3"/>
  <c r="L768" i="3" l="1"/>
  <c r="V768" i="3"/>
  <c r="W768" i="3" s="1"/>
  <c r="A769" i="3"/>
  <c r="B769" i="3" s="1"/>
  <c r="AD769" i="3" l="1"/>
  <c r="AC769" i="3"/>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M769" i="3"/>
  <c r="N769" i="3" s="1"/>
  <c r="W769" i="3" l="1"/>
  <c r="L769" i="3"/>
  <c r="AC770" i="3"/>
  <c r="P770" i="3"/>
  <c r="Q770" i="3" s="1"/>
  <c r="R770" i="3" s="1"/>
  <c r="S770" i="3" s="1"/>
  <c r="AD770" i="3"/>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L770" i="3" s="1"/>
  <c r="AA771" i="3"/>
  <c r="AC771" i="3"/>
  <c r="P771" i="3"/>
  <c r="Q771" i="3" s="1"/>
  <c r="R771" i="3" s="1"/>
  <c r="S771" i="3" s="1"/>
  <c r="Z771" i="3"/>
  <c r="AD771" i="3"/>
  <c r="U770" i="3" l="1"/>
  <c r="Y769" i="3"/>
  <c r="T771" i="3"/>
  <c r="AH771" i="3" s="1"/>
  <c r="E771" i="3" l="1"/>
  <c r="H771" i="3" s="1"/>
  <c r="AG771" i="3"/>
  <c r="D771" i="3"/>
  <c r="K771" i="3" l="1"/>
  <c r="AE771" i="3" s="1"/>
  <c r="F771" i="3"/>
  <c r="G771" i="3"/>
  <c r="V771" i="3" l="1"/>
  <c r="A772" i="3"/>
  <c r="B772" i="3" s="1"/>
  <c r="I771" i="3"/>
  <c r="J771" i="3"/>
  <c r="M771" i="3"/>
  <c r="N771" i="3" s="1"/>
  <c r="L771" i="3" l="1"/>
  <c r="W771" i="3"/>
  <c r="AD772"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M772" i="3"/>
  <c r="N772" i="3" s="1"/>
  <c r="W772" i="3" l="1"/>
  <c r="L772" i="3"/>
  <c r="AA773" i="3"/>
  <c r="P773" i="3"/>
  <c r="Q773" i="3" s="1"/>
  <c r="R773" i="3" s="1"/>
  <c r="S773" i="3" s="1"/>
  <c r="Z773" i="3"/>
  <c r="AD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L773" i="3" s="1"/>
  <c r="AC774" i="3"/>
  <c r="P774" i="3"/>
  <c r="Q774" i="3" s="1"/>
  <c r="R774" i="3" s="1"/>
  <c r="S774" i="3" s="1"/>
  <c r="AA774" i="3"/>
  <c r="Z774" i="3"/>
  <c r="U773" i="3" l="1"/>
  <c r="Y772" i="3"/>
  <c r="T774" i="3"/>
  <c r="AG774" i="3" s="1"/>
  <c r="E774" i="3" l="1"/>
  <c r="H774" i="3" s="1"/>
  <c r="K774" i="3" s="1"/>
  <c r="AE774" i="3" s="1"/>
  <c r="AH774" i="3"/>
  <c r="D774" i="3"/>
  <c r="F774" i="3" l="1"/>
  <c r="G774" i="3"/>
  <c r="M774" i="3" s="1"/>
  <c r="N774" i="3" s="1"/>
  <c r="V774" i="3"/>
  <c r="A775" i="3"/>
  <c r="B775" i="3" s="1"/>
  <c r="I774" i="3" l="1"/>
  <c r="W774" i="3" s="1"/>
  <c r="J774" i="3"/>
  <c r="P775" i="3"/>
  <c r="Q775" i="3" s="1"/>
  <c r="R775" i="3" s="1"/>
  <c r="S775" i="3" s="1"/>
  <c r="Z775" i="3"/>
  <c r="AD775" i="3"/>
  <c r="AA775" i="3"/>
  <c r="AC775" i="3"/>
  <c r="L774" i="3" l="1"/>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D778" i="3"/>
  <c r="AA778" i="3"/>
  <c r="AC778" i="3"/>
  <c r="U777" i="3" l="1"/>
  <c r="Y776" i="3"/>
  <c r="T778" i="3"/>
  <c r="AH778" i="3" s="1"/>
  <c r="E778" i="3" l="1"/>
  <c r="H778" i="3" s="1"/>
  <c r="K778" i="3" s="1"/>
  <c r="AE778" i="3" s="1"/>
  <c r="AG778" i="3"/>
  <c r="D778" i="3"/>
  <c r="G778" i="3" s="1"/>
  <c r="F778" i="3" l="1"/>
  <c r="I778" i="3"/>
  <c r="J778" i="3"/>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AD785" i="3"/>
  <c r="P785" i="3"/>
  <c r="Q785" i="3" s="1"/>
  <c r="R785" i="3" s="1"/>
  <c r="S785" i="3" s="1"/>
  <c r="AC785" i="3"/>
  <c r="Z785" i="3"/>
  <c r="U784" i="3" l="1"/>
  <c r="Y783" i="3"/>
  <c r="T785" i="3"/>
  <c r="AH785" i="3" s="1"/>
  <c r="E785" i="3" l="1"/>
  <c r="H785" i="3" s="1"/>
  <c r="AG785" i="3"/>
  <c r="D785" i="3"/>
  <c r="K785" i="3" l="1"/>
  <c r="AE785" i="3" s="1"/>
  <c r="F785" i="3"/>
  <c r="G785" i="3"/>
  <c r="I785" i="3" l="1"/>
  <c r="J785" i="3"/>
  <c r="M785" i="3"/>
  <c r="N785" i="3" s="1"/>
  <c r="V785" i="3"/>
  <c r="A786" i="3"/>
  <c r="B786" i="3" s="1"/>
  <c r="W785" i="3" l="1"/>
  <c r="L785" i="3"/>
  <c r="Z786" i="3"/>
  <c r="AD786" i="3"/>
  <c r="AA786" i="3"/>
  <c r="P786" i="3"/>
  <c r="Q786" i="3" s="1"/>
  <c r="R786" i="3" s="1"/>
  <c r="S786" i="3" s="1"/>
  <c r="AC786" i="3"/>
  <c r="U785" i="3" l="1"/>
  <c r="Y784" i="3"/>
  <c r="T786" i="3"/>
  <c r="E786" i="3" l="1"/>
  <c r="H786" i="3" s="1"/>
  <c r="K786" i="3" s="1"/>
  <c r="AE786" i="3" s="1"/>
  <c r="AG786" i="3"/>
  <c r="D786" i="3"/>
  <c r="G786" i="3" s="1"/>
  <c r="AH786" i="3"/>
  <c r="F786" i="3" l="1"/>
  <c r="I786" i="3"/>
  <c r="J786" i="3"/>
  <c r="M786" i="3"/>
  <c r="N786" i="3" s="1"/>
  <c r="V786" i="3"/>
  <c r="A787" i="3"/>
  <c r="B787" i="3" s="1"/>
  <c r="L786" i="3" l="1"/>
  <c r="W786" i="3"/>
  <c r="AC787" i="3"/>
  <c r="P787" i="3"/>
  <c r="Q787" i="3" s="1"/>
  <c r="R787" i="3" s="1"/>
  <c r="S787" i="3" s="1"/>
  <c r="Z787" i="3"/>
  <c r="AD787" i="3"/>
  <c r="AA787" i="3"/>
  <c r="U786" i="3" l="1"/>
  <c r="Y785" i="3"/>
  <c r="T787" i="3"/>
  <c r="D787" i="3" l="1"/>
  <c r="G787" i="3" s="1"/>
  <c r="AH787" i="3"/>
  <c r="E787" i="3"/>
  <c r="H787" i="3" s="1"/>
  <c r="AG787" i="3"/>
  <c r="F787" i="3" l="1"/>
  <c r="I787" i="3"/>
  <c r="J787" i="3"/>
  <c r="M787" i="3"/>
  <c r="N787" i="3" s="1"/>
  <c r="K787" i="3"/>
  <c r="AE787" i="3" s="1"/>
  <c r="V787" i="3" l="1"/>
  <c r="W787" i="3" s="1"/>
  <c r="A788" i="3"/>
  <c r="B788" i="3" s="1"/>
  <c r="L787" i="3"/>
  <c r="U787" i="3" l="1"/>
  <c r="Y786" i="3"/>
  <c r="AC788" i="3"/>
  <c r="Z788" i="3"/>
  <c r="AD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L788" i="3" s="1"/>
  <c r="W788" i="3"/>
  <c r="P789" i="3"/>
  <c r="Q789" i="3" s="1"/>
  <c r="R789" i="3" s="1"/>
  <c r="S789" i="3" s="1"/>
  <c r="AC789" i="3"/>
  <c r="AD789" i="3"/>
  <c r="AA789" i="3"/>
  <c r="Z789" i="3"/>
  <c r="U788" i="3" l="1"/>
  <c r="Y787" i="3"/>
  <c r="T789" i="3"/>
  <c r="D789" i="3" l="1"/>
  <c r="G789" i="3" s="1"/>
  <c r="E789" i="3"/>
  <c r="H789" i="3" s="1"/>
  <c r="AH789" i="3"/>
  <c r="AG789" i="3"/>
  <c r="F789" i="3" l="1"/>
  <c r="I789" i="3"/>
  <c r="J789" i="3"/>
  <c r="M789" i="3"/>
  <c r="N789" i="3" s="1"/>
  <c r="K789" i="3"/>
  <c r="AE789" i="3" s="1"/>
  <c r="L789" i="3" l="1"/>
  <c r="V789" i="3"/>
  <c r="W789" i="3" s="1"/>
  <c r="A790" i="3"/>
  <c r="B790" i="3" s="1"/>
  <c r="AA790" i="3" l="1"/>
  <c r="AC790" i="3"/>
  <c r="Z790" i="3"/>
  <c r="AD790" i="3"/>
  <c r="P790" i="3"/>
  <c r="Q790" i="3" s="1"/>
  <c r="R790" i="3" s="1"/>
  <c r="S790" i="3" s="1"/>
  <c r="U789" i="3"/>
  <c r="Y788" i="3"/>
  <c r="T790" i="3" l="1"/>
  <c r="D790" i="3" s="1"/>
  <c r="AG790" i="3" l="1"/>
  <c r="G790" i="3"/>
  <c r="AH790" i="3"/>
  <c r="E790" i="3"/>
  <c r="H790" i="3" s="1"/>
  <c r="F790" i="3" l="1"/>
  <c r="I790" i="3"/>
  <c r="J790" i="3"/>
  <c r="M790" i="3"/>
  <c r="N790" i="3" s="1"/>
  <c r="K790" i="3"/>
  <c r="AE790" i="3" s="1"/>
  <c r="V790" i="3" l="1"/>
  <c r="W790" i="3" s="1"/>
  <c r="A791" i="3"/>
  <c r="B791" i="3" s="1"/>
  <c r="L790" i="3"/>
  <c r="U790" i="3" l="1"/>
  <c r="Y789" i="3"/>
  <c r="AD791" i="3"/>
  <c r="P791" i="3"/>
  <c r="Q791" i="3" s="1"/>
  <c r="R791" i="3" s="1"/>
  <c r="S791" i="3" s="1"/>
  <c r="AA791" i="3"/>
  <c r="AC791" i="3"/>
  <c r="Z791" i="3"/>
  <c r="T791" i="3" l="1"/>
  <c r="AG791" i="3" s="1"/>
  <c r="E791" i="3" l="1"/>
  <c r="H791" i="3" s="1"/>
  <c r="K791" i="3" s="1"/>
  <c r="AE791" i="3" s="1"/>
  <c r="D791" i="3"/>
  <c r="G791" i="3" s="1"/>
  <c r="AH791" i="3"/>
  <c r="F791" i="3" l="1"/>
  <c r="I791" i="3"/>
  <c r="J791" i="3"/>
  <c r="M791" i="3"/>
  <c r="N791" i="3" s="1"/>
  <c r="V791" i="3"/>
  <c r="A792" i="3"/>
  <c r="B792" i="3" s="1"/>
  <c r="W791" i="3" l="1"/>
  <c r="L791" i="3"/>
  <c r="P792" i="3"/>
  <c r="Q792" i="3" s="1"/>
  <c r="R792" i="3" s="1"/>
  <c r="S792" i="3" s="1"/>
  <c r="AC792" i="3"/>
  <c r="AD792" i="3"/>
  <c r="Z792" i="3"/>
  <c r="AA792" i="3"/>
  <c r="U791" i="3" l="1"/>
  <c r="Y790" i="3"/>
  <c r="T792" i="3"/>
  <c r="AG792" i="3" s="1"/>
  <c r="AH792" i="3" l="1"/>
  <c r="D792" i="3"/>
  <c r="E792" i="3"/>
  <c r="H792" i="3" s="1"/>
  <c r="F792" i="3" l="1"/>
  <c r="G792" i="3"/>
  <c r="K792" i="3"/>
  <c r="AE792" i="3" s="1"/>
  <c r="I792" i="3" l="1"/>
  <c r="J792" i="3"/>
  <c r="M792" i="3"/>
  <c r="N792" i="3" s="1"/>
  <c r="V792" i="3"/>
  <c r="A793" i="3"/>
  <c r="B793" i="3" s="1"/>
  <c r="L792" i="3" l="1"/>
  <c r="W792" i="3"/>
  <c r="AD793"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L793" i="3" s="1"/>
  <c r="Z794" i="3"/>
  <c r="AC794" i="3"/>
  <c r="P794" i="3"/>
  <c r="Q794" i="3" s="1"/>
  <c r="R794" i="3" s="1"/>
  <c r="S794" i="3" s="1"/>
  <c r="AA794" i="3"/>
  <c r="T794" i="3" l="1"/>
  <c r="AH794" i="3" s="1"/>
  <c r="U793" i="3"/>
  <c r="Y792" i="3"/>
  <c r="AG794" i="3" l="1"/>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AD798" i="3"/>
  <c r="T798" i="3" l="1"/>
  <c r="U797" i="3"/>
  <c r="Y796" i="3"/>
  <c r="E798" i="3" l="1"/>
  <c r="H798" i="3" s="1"/>
  <c r="K798" i="3" s="1"/>
  <c r="AE798" i="3" s="1"/>
  <c r="D798" i="3"/>
  <c r="G798" i="3" s="1"/>
  <c r="AH798" i="3"/>
  <c r="AG798" i="3"/>
  <c r="F798" i="3" l="1"/>
  <c r="I798" i="3"/>
  <c r="J798" i="3"/>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D808" i="3"/>
  <c r="AC808" i="3"/>
  <c r="U807" i="3" l="1"/>
  <c r="Y806" i="3"/>
  <c r="T808" i="3"/>
  <c r="AH808" i="3" s="1"/>
  <c r="D808" i="3" l="1"/>
  <c r="G808" i="3" s="1"/>
  <c r="E808" i="3"/>
  <c r="H808" i="3" s="1"/>
  <c r="K808" i="3" s="1"/>
  <c r="AE808" i="3" s="1"/>
  <c r="AG808" i="3"/>
  <c r="F808" i="3" l="1"/>
  <c r="I808" i="3"/>
  <c r="J808" i="3"/>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AD818"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AD828" i="3"/>
  <c r="P828" i="3"/>
  <c r="Q828" i="3" s="1"/>
  <c r="R828" i="3" s="1"/>
  <c r="S828" i="3" s="1"/>
  <c r="AC828" i="3"/>
  <c r="AA828" i="3"/>
  <c r="Z828" i="3"/>
  <c r="U827" i="3" l="1"/>
  <c r="Y826" i="3"/>
  <c r="T828" i="3"/>
  <c r="D828" i="3" l="1"/>
  <c r="G828" i="3" s="1"/>
  <c r="AG828" i="3"/>
  <c r="AH828" i="3"/>
  <c r="E828" i="3"/>
  <c r="H828" i="3" s="1"/>
  <c r="F828" i="3" l="1"/>
  <c r="I828" i="3"/>
  <c r="J828" i="3"/>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AD838" i="3"/>
  <c r="U837" i="3" l="1"/>
  <c r="Y836" i="3"/>
  <c r="T838" i="3"/>
  <c r="AH838" i="3" s="1"/>
  <c r="E838" i="3" l="1"/>
  <c r="H838" i="3" s="1"/>
  <c r="D838" i="3"/>
  <c r="AG838" i="3"/>
  <c r="K838" i="3" l="1"/>
  <c r="AE838" i="3" s="1"/>
  <c r="F838" i="3"/>
  <c r="G838" i="3"/>
  <c r="V838" i="3" l="1"/>
  <c r="A839" i="3"/>
  <c r="B839" i="3" s="1"/>
  <c r="I838" i="3"/>
  <c r="J838" i="3"/>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AD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AD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AD868" i="3"/>
  <c r="Z868" i="3"/>
  <c r="AA868" i="3"/>
  <c r="AC868" i="3"/>
  <c r="P868" i="3"/>
  <c r="Q868" i="3" s="1"/>
  <c r="R868" i="3" s="1"/>
  <c r="S868" i="3" s="1"/>
  <c r="T868" i="3" l="1"/>
  <c r="U867" i="3"/>
  <c r="Y866" i="3"/>
  <c r="E868" i="3" l="1"/>
  <c r="H868" i="3" s="1"/>
  <c r="K868" i="3" s="1"/>
  <c r="AE868" i="3" s="1"/>
  <c r="AH868" i="3"/>
  <c r="D868" i="3"/>
  <c r="G868" i="3" s="1"/>
  <c r="AG868" i="3"/>
  <c r="F868" i="3" l="1"/>
  <c r="I868" i="3"/>
  <c r="J868" i="3"/>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D878" i="3"/>
  <c r="AC878" i="3"/>
  <c r="AA878" i="3"/>
  <c r="P878" i="3"/>
  <c r="Q878" i="3" s="1"/>
  <c r="R878" i="3" s="1"/>
  <c r="S878" i="3" s="1"/>
  <c r="T878" i="3" l="1"/>
  <c r="E878" i="3" s="1"/>
  <c r="H878" i="3" s="1"/>
  <c r="D878" i="3" l="1"/>
  <c r="G878" i="3" s="1"/>
  <c r="AG878" i="3"/>
  <c r="AH878" i="3"/>
  <c r="K878" i="3"/>
  <c r="AE878" i="3" s="1"/>
  <c r="F878" i="3" l="1"/>
  <c r="I878" i="3"/>
  <c r="J878" i="3"/>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D888" i="3"/>
  <c r="AA888" i="3"/>
  <c r="Z888" i="3"/>
  <c r="P888" i="3"/>
  <c r="Q888" i="3" s="1"/>
  <c r="R888" i="3" s="1"/>
  <c r="S888" i="3" s="1"/>
  <c r="T888" i="3" l="1"/>
  <c r="U887" i="3"/>
  <c r="Y886" i="3"/>
  <c r="E888" i="3" l="1"/>
  <c r="H888" i="3" s="1"/>
  <c r="K888" i="3" s="1"/>
  <c r="AE888" i="3" s="1"/>
  <c r="D888" i="3"/>
  <c r="G888" i="3" s="1"/>
  <c r="AG888" i="3"/>
  <c r="AH888" i="3"/>
  <c r="F888" i="3" l="1"/>
  <c r="I888" i="3"/>
  <c r="J888" i="3"/>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AD898" i="3"/>
  <c r="P898" i="3"/>
  <c r="Q898" i="3" s="1"/>
  <c r="R898" i="3" s="1"/>
  <c r="S898" i="3" s="1"/>
  <c r="Z898" i="3"/>
  <c r="AC898" i="3"/>
  <c r="U897" i="3"/>
  <c r="Y896" i="3"/>
  <c r="T898" i="3" l="1"/>
  <c r="D898" i="3" s="1"/>
  <c r="G898" i="3" l="1"/>
  <c r="AG898" i="3"/>
  <c r="E898" i="3"/>
  <c r="H898" i="3" s="1"/>
  <c r="AH898" i="3"/>
  <c r="F898" i="3" l="1"/>
  <c r="I898" i="3"/>
  <c r="J898" i="3"/>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D908" i="3"/>
  <c r="AC908" i="3"/>
  <c r="T908" i="3" l="1"/>
  <c r="L907" i="3"/>
  <c r="AG908" i="3" l="1"/>
  <c r="AH908" i="3"/>
  <c r="U907" i="3"/>
  <c r="E908" i="3" s="1"/>
  <c r="H908" i="3" s="1"/>
  <c r="Y906" i="3"/>
  <c r="D908" i="3" l="1"/>
  <c r="G908" i="3" s="1"/>
  <c r="K908" i="3"/>
  <c r="AE908" i="3" s="1"/>
  <c r="F908" i="3" l="1"/>
  <c r="I908" i="3"/>
  <c r="J908" i="3"/>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D918" i="3"/>
  <c r="AA918" i="3"/>
  <c r="Z918" i="3"/>
  <c r="P918" i="3"/>
  <c r="Q918" i="3" s="1"/>
  <c r="R918" i="3" s="1"/>
  <c r="S918" i="3" s="1"/>
  <c r="T918" i="3" l="1"/>
  <c r="U917" i="3"/>
  <c r="Y916" i="3"/>
  <c r="E918" i="3" l="1"/>
  <c r="H918" i="3" s="1"/>
  <c r="K918" i="3" s="1"/>
  <c r="AE918" i="3" s="1"/>
  <c r="AH918" i="3"/>
  <c r="D918" i="3"/>
  <c r="G918" i="3" s="1"/>
  <c r="AG918" i="3"/>
  <c r="F918" i="3" l="1"/>
  <c r="I918" i="3"/>
  <c r="J918" i="3"/>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D928" i="3"/>
  <c r="AA928" i="3"/>
  <c r="Z928" i="3"/>
  <c r="P928" i="3"/>
  <c r="Q928" i="3" s="1"/>
  <c r="R928" i="3" s="1"/>
  <c r="S928" i="3" s="1"/>
  <c r="T928" i="3" l="1"/>
  <c r="D928" i="3" s="1"/>
  <c r="AH928" i="3" l="1"/>
  <c r="E928" i="3"/>
  <c r="H928" i="3" s="1"/>
  <c r="K928" i="3" s="1"/>
  <c r="AE928" i="3" s="1"/>
  <c r="AG928" i="3"/>
  <c r="G928" i="3"/>
  <c r="F928" i="3" l="1"/>
  <c r="I928" i="3"/>
  <c r="J928" i="3"/>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AD938" i="3"/>
  <c r="T938" i="3" l="1"/>
  <c r="AG938" i="3" s="1"/>
  <c r="U937" i="3"/>
  <c r="Y936" i="3"/>
  <c r="D938" i="3" l="1"/>
  <c r="AH938" i="3"/>
  <c r="E938" i="3"/>
  <c r="H938" i="3" s="1"/>
  <c r="F938" i="3" l="1"/>
  <c r="G938" i="3"/>
  <c r="J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AD948" i="3"/>
  <c r="Z948" i="3"/>
  <c r="AC948" i="3"/>
  <c r="U947" i="3" l="1"/>
  <c r="Y946" i="3"/>
  <c r="T948" i="3"/>
  <c r="AH948" i="3" s="1"/>
  <c r="AG948" i="3" l="1"/>
  <c r="E948" i="3"/>
  <c r="H948" i="3" s="1"/>
  <c r="D948" i="3"/>
  <c r="K948" i="3" l="1"/>
  <c r="AE948" i="3" s="1"/>
  <c r="F948" i="3"/>
  <c r="G948" i="3"/>
  <c r="I948" i="3" l="1"/>
  <c r="J948" i="3"/>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D955" i="3"/>
  <c r="AC955" i="3"/>
  <c r="Z955" i="3"/>
  <c r="U954" i="3" l="1"/>
  <c r="Y953" i="3"/>
  <c r="T955" i="3"/>
  <c r="AG955" i="3" s="1"/>
  <c r="AH955" i="3" l="1"/>
  <c r="D955" i="3"/>
  <c r="E955" i="3"/>
  <c r="H955" i="3" s="1"/>
  <c r="F955" i="3" l="1"/>
  <c r="G955" i="3"/>
  <c r="K955" i="3"/>
  <c r="AE955" i="3" s="1"/>
  <c r="I955" i="3" l="1"/>
  <c r="J955" i="3"/>
  <c r="M955" i="3"/>
  <c r="N955" i="3" s="1"/>
  <c r="V955" i="3"/>
  <c r="A956" i="3"/>
  <c r="B956" i="3" s="1"/>
  <c r="W955" i="3" l="1"/>
  <c r="L955" i="3"/>
  <c r="AA956" i="3"/>
  <c r="P956" i="3"/>
  <c r="Q956" i="3" s="1"/>
  <c r="R956" i="3" s="1"/>
  <c r="S956" i="3" s="1"/>
  <c r="Z956" i="3"/>
  <c r="AD956" i="3"/>
  <c r="AC956" i="3"/>
  <c r="U955" i="3" l="1"/>
  <c r="Y954" i="3"/>
  <c r="T956" i="3"/>
  <c r="AH956" i="3" s="1"/>
  <c r="AG956" i="3" l="1"/>
  <c r="E956" i="3"/>
  <c r="H956" i="3" s="1"/>
  <c r="K956" i="3" s="1"/>
  <c r="AE956" i="3" s="1"/>
  <c r="D956" i="3"/>
  <c r="V956" i="3" l="1"/>
  <c r="A957" i="3"/>
  <c r="B957" i="3" s="1"/>
  <c r="F956" i="3"/>
  <c r="G956" i="3"/>
  <c r="I956" i="3" l="1"/>
  <c r="W956" i="3" s="1"/>
  <c r="J956" i="3"/>
  <c r="M956" i="3"/>
  <c r="N956" i="3" s="1"/>
  <c r="AA957" i="3"/>
  <c r="AD957" i="3"/>
  <c r="Z957" i="3"/>
  <c r="P957" i="3"/>
  <c r="Q957" i="3" s="1"/>
  <c r="R957" i="3" s="1"/>
  <c r="S957" i="3" s="1"/>
  <c r="AC957" i="3"/>
  <c r="T957" i="3" l="1"/>
  <c r="L956" i="3"/>
  <c r="AG957" i="3" l="1"/>
  <c r="U956" i="3"/>
  <c r="E957" i="3" s="1"/>
  <c r="H957" i="3" s="1"/>
  <c r="AH957" i="3"/>
  <c r="Y955" i="3"/>
  <c r="D957" i="3" l="1"/>
  <c r="G957" i="3" s="1"/>
  <c r="K957" i="3"/>
  <c r="AE957" i="3" s="1"/>
  <c r="F957" i="3" l="1"/>
  <c r="I957" i="3"/>
  <c r="J957" i="3"/>
  <c r="M957" i="3"/>
  <c r="N957" i="3" s="1"/>
  <c r="V957" i="3"/>
  <c r="A958" i="3"/>
  <c r="B958" i="3" s="1"/>
  <c r="W957" i="3" l="1"/>
  <c r="L957" i="3"/>
  <c r="AC958" i="3"/>
  <c r="AA958" i="3"/>
  <c r="P958" i="3"/>
  <c r="Q958" i="3" s="1"/>
  <c r="R958" i="3" s="1"/>
  <c r="S958" i="3" s="1"/>
  <c r="Z958" i="3"/>
  <c r="AD958" i="3"/>
  <c r="T958" i="3" l="1"/>
  <c r="AH958" i="3" s="1"/>
  <c r="U957" i="3"/>
  <c r="Y956" i="3"/>
  <c r="AG958" i="3" l="1"/>
  <c r="D958" i="3"/>
  <c r="E958" i="3"/>
  <c r="H958" i="3" s="1"/>
  <c r="K958" i="3" l="1"/>
  <c r="AE958" i="3" s="1"/>
  <c r="F958" i="3"/>
  <c r="G958" i="3"/>
  <c r="V958" i="3" l="1"/>
  <c r="A959" i="3"/>
  <c r="B959" i="3" s="1"/>
  <c r="I958" i="3"/>
  <c r="J958" i="3"/>
  <c r="M958" i="3"/>
  <c r="N958" i="3" s="1"/>
  <c r="W958" i="3" l="1"/>
  <c r="L958" i="3"/>
  <c r="Z959" i="3"/>
  <c r="AC959" i="3"/>
  <c r="P959" i="3"/>
  <c r="Q959" i="3" s="1"/>
  <c r="R959" i="3" s="1"/>
  <c r="S959" i="3" s="1"/>
  <c r="AA959" i="3"/>
  <c r="AD959" i="3"/>
  <c r="T959" i="3" l="1"/>
  <c r="AH959" i="3" s="1"/>
  <c r="U958" i="3"/>
  <c r="Y957" i="3"/>
  <c r="AG959" i="3" l="1"/>
  <c r="E959" i="3"/>
  <c r="H959" i="3" s="1"/>
  <c r="K959" i="3" s="1"/>
  <c r="AE959" i="3" s="1"/>
  <c r="D959" i="3"/>
  <c r="F959" i="3" l="1"/>
  <c r="G959" i="3"/>
  <c r="V959" i="3"/>
  <c r="A960" i="3"/>
  <c r="B960" i="3" s="1"/>
  <c r="AD960" i="3" l="1"/>
  <c r="Z960" i="3"/>
  <c r="AA960" i="3"/>
  <c r="P960" i="3"/>
  <c r="Q960" i="3" s="1"/>
  <c r="R960" i="3" s="1"/>
  <c r="S960" i="3" s="1"/>
  <c r="AC960" i="3"/>
  <c r="I959" i="3"/>
  <c r="W959" i="3" s="1"/>
  <c r="J959" i="3"/>
  <c r="M959" i="3"/>
  <c r="N959" i="3" s="1"/>
  <c r="T960" i="3" l="1"/>
  <c r="L959" i="3"/>
  <c r="U959" i="3" l="1"/>
  <c r="E960" i="3" s="1"/>
  <c r="H960" i="3" s="1"/>
  <c r="AG960" i="3"/>
  <c r="AH960" i="3"/>
  <c r="Y958" i="3"/>
  <c r="D960" i="3" l="1"/>
  <c r="G960" i="3" s="1"/>
  <c r="K960" i="3"/>
  <c r="AE960" i="3" s="1"/>
  <c r="F960" i="3" l="1"/>
  <c r="I960" i="3"/>
  <c r="J960" i="3"/>
  <c r="M960" i="3"/>
  <c r="N960" i="3" s="1"/>
  <c r="V960" i="3"/>
  <c r="A961" i="3"/>
  <c r="B961" i="3" s="1"/>
  <c r="W960" i="3" l="1"/>
  <c r="P961" i="3"/>
  <c r="Q961" i="3" s="1"/>
  <c r="R961" i="3" s="1"/>
  <c r="S961" i="3" s="1"/>
  <c r="AD961" i="3"/>
  <c r="AC961" i="3"/>
  <c r="Z961" i="3"/>
  <c r="AA961" i="3"/>
  <c r="L960" i="3"/>
  <c r="U960" i="3" l="1"/>
  <c r="Y959" i="3"/>
  <c r="T961" i="3"/>
  <c r="D961" i="3" l="1"/>
  <c r="G961" i="3" s="1"/>
  <c r="AH961" i="3"/>
  <c r="AG961" i="3"/>
  <c r="E961" i="3"/>
  <c r="H961" i="3" s="1"/>
  <c r="K961" i="3" l="1"/>
  <c r="AE961" i="3" s="1"/>
  <c r="I961" i="3"/>
  <c r="J961" i="3"/>
  <c r="M961" i="3"/>
  <c r="N961" i="3" s="1"/>
  <c r="F961" i="3"/>
  <c r="L961" i="3" l="1"/>
  <c r="V961" i="3"/>
  <c r="W961" i="3" s="1"/>
  <c r="A962" i="3"/>
  <c r="B962" i="3" s="1"/>
  <c r="Z962" i="3" l="1"/>
  <c r="AA962" i="3"/>
  <c r="P962" i="3"/>
  <c r="Q962" i="3" s="1"/>
  <c r="R962" i="3" s="1"/>
  <c r="S962" i="3" s="1"/>
  <c r="AC962" i="3"/>
  <c r="AD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AD963" i="3"/>
  <c r="I962" i="3"/>
  <c r="W962" i="3" s="1"/>
  <c r="J962" i="3"/>
  <c r="M962" i="3"/>
  <c r="N962" i="3" s="1"/>
  <c r="T963" i="3" l="1"/>
  <c r="L962" i="3"/>
  <c r="U962" i="3" l="1"/>
  <c r="E963" i="3" s="1"/>
  <c r="H963" i="3" s="1"/>
  <c r="AG963" i="3"/>
  <c r="AH963" i="3"/>
  <c r="Y961" i="3"/>
  <c r="D963" i="3" l="1"/>
  <c r="G963" i="3" s="1"/>
  <c r="K963" i="3"/>
  <c r="AE963" i="3" s="1"/>
  <c r="F963" i="3" l="1"/>
  <c r="I963" i="3"/>
  <c r="J963" i="3"/>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AD968" i="3"/>
  <c r="L967" i="3" l="1"/>
  <c r="T968" i="3"/>
  <c r="AH968" i="3" l="1"/>
  <c r="AG968" i="3"/>
  <c r="U967" i="3"/>
  <c r="E968" i="3" s="1"/>
  <c r="H968" i="3" s="1"/>
  <c r="Y966" i="3"/>
  <c r="K968" i="3" l="1"/>
  <c r="AE968" i="3" s="1"/>
  <c r="D968" i="3"/>
  <c r="V968" i="3" l="1"/>
  <c r="A969" i="3"/>
  <c r="B969" i="3" s="1"/>
  <c r="F968" i="3"/>
  <c r="G968" i="3"/>
  <c r="I968" i="3" l="1"/>
  <c r="W968" i="3" s="1"/>
  <c r="J968" i="3"/>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AD978" i="3"/>
  <c r="Z978" i="3"/>
  <c r="AA978" i="3"/>
  <c r="P978" i="3"/>
  <c r="Q978" i="3" s="1"/>
  <c r="R978" i="3" s="1"/>
  <c r="S978" i="3" s="1"/>
  <c r="T978" i="3" l="1"/>
  <c r="U977" i="3"/>
  <c r="Y976" i="3"/>
  <c r="D978" i="3" l="1"/>
  <c r="G978" i="3" s="1"/>
  <c r="E978" i="3"/>
  <c r="H978" i="3" s="1"/>
  <c r="K978" i="3" s="1"/>
  <c r="AE978" i="3" s="1"/>
  <c r="AH978" i="3"/>
  <c r="AG978" i="3"/>
  <c r="F978" i="3" l="1"/>
  <c r="I978" i="3"/>
  <c r="J978" i="3"/>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D988" i="3"/>
  <c r="AA988" i="3"/>
  <c r="P988" i="3"/>
  <c r="Q988" i="3" s="1"/>
  <c r="R988" i="3" s="1"/>
  <c r="S988" i="3" s="1"/>
  <c r="L987" i="3" l="1"/>
  <c r="T988" i="3"/>
  <c r="AH988" i="3" l="1"/>
  <c r="U987" i="3"/>
  <c r="E988" i="3" s="1"/>
  <c r="H988" i="3" s="1"/>
  <c r="AG988" i="3"/>
  <c r="Y986" i="3"/>
  <c r="D988" i="3" l="1"/>
  <c r="G988" i="3" s="1"/>
  <c r="K988" i="3"/>
  <c r="AE988" i="3" s="1"/>
  <c r="F988" i="3" l="1"/>
  <c r="I988" i="3"/>
  <c r="J988" i="3"/>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D998" i="3"/>
  <c r="AC998" i="3"/>
  <c r="AA998" i="3"/>
  <c r="T998" i="3" l="1"/>
  <c r="AG998" i="3" s="1"/>
  <c r="U997" i="3"/>
  <c r="Y996" i="3"/>
  <c r="E998" i="3" l="1"/>
  <c r="H998" i="3" s="1"/>
  <c r="K998" i="3" s="1"/>
  <c r="AE998" i="3" s="1"/>
  <c r="AH998" i="3"/>
  <c r="D998" i="3"/>
  <c r="V998" i="3" l="1"/>
  <c r="A999" i="3"/>
  <c r="B999" i="3" s="1"/>
  <c r="F998" i="3"/>
  <c r="G998" i="3"/>
  <c r="I998" i="3" l="1"/>
  <c r="W998" i="3" s="1"/>
  <c r="J998" i="3"/>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s="1"/>
  <c r="H115" i="7" l="1"/>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<sst xmlns="http://schemas.openxmlformats.org/spreadsheetml/2006/main" count="1732" uniqueCount="573">
  <si>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</si>
  <si>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</si>
  <si>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</si>
  <si>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</si>
  <si>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</si>
  <si>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</si>
  <si>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</si>
  <si>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</si>
  <si>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</si>
  <si>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</si>
  <si>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</si>
  <si>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</si>
  <si>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</si>
  <si>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</si>
  <si>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</si>
  <si>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</si>
  <si>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</si>
  <si>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</si>
  <si>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</si>
  <si>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</si>
  <si>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</si>
  <si>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</si>
  <si>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</si>
  <si>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</si>
  <si>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</si>
  <si>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</si>
  <si>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</si>
  <si>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</si>
  <si>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</si>
  <si>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</si>
  <si>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</si>
  <si>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</si>
  <si>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</si>
  <si>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</si>
  <si>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</si>
  <si>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</si>
  <si>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</si>
  <si>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</si>
  <si>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</si>
  <si>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</si>
  <si>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</si>
  <si>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</si>
  <si>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</si>
  <si>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</si>
  <si>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</si>
  <si>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</si>
  <si>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</si>
  <si>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</si>
  <si>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</si>
  <si>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</si>
  <si>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</si>
  <si>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</si>
  <si>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</si>
  <si>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</si>
  <si>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</si>
  <si>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</si>
  <si>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</si>
  <si>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</si>
  <si>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</si>
  <si>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</si>
  <si>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</si>
  <si>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</si>
  <si>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</si>
  <si>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</si>
  <si>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</si>
  <si>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</si>
  <si>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</si>
  <si>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</si>
  <si>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</si>
  <si>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</si>
  <si>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</si>
  <si>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</si>
  <si>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</si>
  <si>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</si>
  <si>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</si>
  <si>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</si>
  <si>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</si>
  <si>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</si>
  <si>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</si>
  <si>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</si>
  <si>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</si>
  <si>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</si>
  <si>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</si>
  <si>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</si>
  <si>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</si>
  <si>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</si>
  <si>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</si>
  <si>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</si>
  <si>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</si>
  <si>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</si>
  <si>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</si>
  <si>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</si>
  <si>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</si>
  <si>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</si>
  <si>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</si>
  <si>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</si>
  <si>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</si>
  <si>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</si>
  <si>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</si>
  <si>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</si>
  <si>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</si>
  <si>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</si>
  <si>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</si>
  <si>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</si>
  <si>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</si>
  <si>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</si>
  <si>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</si>
  <si>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</si>
  <si>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</si>
  <si>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</si>
  <si>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</si>
  <si>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</si>
  <si>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</si>
  <si>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</si>
  <si>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</si>
  <si>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</si>
  <si>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</si>
  <si>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</si>
  <si>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</si>
  <si>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</si>
  <si>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</si>
  <si>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</si>
  <si>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</si>
  <si>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</si>
  <si>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</si>
  <si>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</si>
  <si>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</si>
  <si>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</si>
  <si>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</si>
  <si>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</si>
  <si>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</si>
  <si>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</si>
  <si>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</si>
  <si>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</si>
  <si>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</si>
  <si>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</si>
  <si>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</si>
  <si>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</si>
  <si>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</si>
  <si>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</si>
  <si>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</si>
  <si>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</si>
  <si>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</si>
  <si>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</si>
  <si>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</si>
  <si>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</si>
  <si>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</si>
  <si>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</si>
  <si>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</si>
  <si>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</si>
  <si>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</si>
  <si>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</si>
  <si>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</si>
  <si>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</si>
  <si>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</si>
  <si>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</si>
  <si>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</si>
  <si>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</si>
  <si>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</si>
  <si>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</si>
  <si>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</si>
  <si>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</si>
  <si>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</si>
  <si>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</si>
  <si>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</si>
  <si>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</si>
  <si>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</si>
  <si>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</si>
  <si>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</si>
  <si>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</si>
  <si>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</si>
  <si>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</si>
  <si>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</si>
  <si>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</si>
  <si>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</si>
  <si>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</si>
  <si>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</si>
  <si>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</si>
  <si>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</si>
  <si>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</si>
  <si>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</si>
  <si>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</si>
  <si>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</si>
  <si>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</si>
  <si>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</si>
  <si>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</si>
  <si>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</si>
  <si>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</si>
  <si>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</si>
  <si>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</si>
  <si>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</si>
  <si>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</si>
  <si>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</si>
  <si>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</si>
  <si>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</si>
  <si>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</si>
  <si>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</si>
  <si>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</si>
  <si>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</si>
  <si>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</si>
  <si>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</si>
  <si>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</si>
  <si>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</si>
  <si>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</si>
  <si>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</si>
  <si>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</si>
  <si>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</si>
  <si>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</si>
  <si>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</si>
  <si>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</si>
  <si>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</si>
  <si>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</si>
  <si>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</si>
  <si>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</si>
  <si>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</si>
  <si>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</si>
  <si>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</si>
  <si>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</si>
  <si>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</si>
  <si>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</si>
  <si>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</si>
  <si>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</si>
  <si>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</si>
  <si>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</si>
  <si>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</si>
  <si>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</si>
  <si>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</si>
  <si>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</si>
  <si>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</si>
  <si>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</si>
  <si>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</si>
  <si>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</si>
  <si>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</si>
  <si>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</si>
  <si>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</si>
  <si>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</si>
  <si>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</si>
  <si>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</si>
  <si>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</si>
  <si>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</si>
  <si>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</si>
  <si>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</si>
  <si>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</si>
  <si>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</si>
  <si>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</si>
  <si>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</si>
  <si>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</si>
  <si>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</si>
  <si>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</si>
  <si>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</si>
  <si>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</si>
  <si>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</si>
  <si>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</si>
  <si>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</si>
  <si>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</si>
  <si>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</si>
  <si>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</si>
  <si>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</si>
  <si>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</si>
  <si>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</si>
  <si>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</si>
  <si>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</si>
  <si>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</si>
  <si>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</si>
  <si>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</si>
  <si>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</si>
  <si>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</si>
  <si>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</si>
  <si>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</si>
  <si>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</si>
  <si>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</si>
  <si>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</si>
  <si>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</si>
  <si>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</si>
  <si>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</si>
  <si>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</si>
  <si>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</si>
  <si>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</si>
  <si>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</si>
  <si>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</si>
  <si>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</si>
  <si>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</si>
  <si>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</si>
  <si>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</si>
  <si>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</si>
  <si>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</si>
  <si>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</si>
  <si>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</si>
  <si>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</si>
  <si>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</si>
  <si>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</si>
  <si>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</si>
  <si>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</si>
  <si>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</si>
  <si>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</si>
  <si>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</si>
  <si>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</si>
  <si>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</si>
  <si>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</si>
  <si>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</si>
  <si>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</si>
  <si>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</si>
  <si>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</si>
  <si>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</si>
  <si>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</si>
  <si>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</si>
  <si>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</si>
  <si>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</si>
  <si>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</si>
  <si>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</si>
  <si>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</si>
  <si>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</si>
  <si>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</si>
  <si>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</si>
  <si>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</si>
  <si>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</si>
  <si>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</si>
  <si>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</si>
  <si>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</si>
  <si>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</si>
  <si>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</si>
  <si>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</si>
  <si>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</si>
  <si>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</si>
  <si>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</si>
  <si>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</si>
  <si>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</si>
  <si>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</si>
  <si>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</si>
  <si>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</si>
  <si>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</si>
  <si>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</si>
  <si>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</si>
  <si>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</si>
  <si>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</si>
  <si>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</si>
  <si>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</si>
  <si>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</si>
  <si>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</si>
  <si>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</si>
  <si>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</si>
  <si>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</si>
  <si>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</si>
  <si>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</si>
  <si>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</si>
  <si>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</si>
  <si>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</si>
  <si>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</si>
  <si>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</si>
  <si>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</si>
  <si>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</si>
  <si>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</si>
  <si>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</si>
  <si>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</si>
  <si>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</si>
  <si>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</si>
  <si>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</si>
  <si>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</si>
  <si>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</si>
  <si>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</si>
  <si>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</si>
  <si>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</si>
  <si>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</si>
  <si>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</si>
  <si>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</si>
  <si>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</si>
  <si>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</si>
  <si>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</si>
  <si>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</si>
  <si>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</si>
  <si>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</si>
  <si>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</si>
  <si>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</si>
  <si>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</si>
  <si>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</si>
  <si>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</si>
  <si>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</si>
  <si>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</si>
  <si>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</si>
  <si>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</si>
  <si>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</si>
  <si>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</si>
  <si>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</si>
  <si>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</si>
  <si>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</si>
  <si>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</si>
  <si>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</si>
  <si>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</si>
  <si>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</si>
  <si>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</si>
  <si>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</si>
  <si>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</si>
  <si>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</si>
  <si>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</si>
  <si>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</si>
  <si>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</si>
  <si>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</si>
  <si>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</si>
  <si>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</si>
  <si>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</si>
  <si>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</si>
  <si>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</si>
  <si>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</si>
  <si>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</si>
  <si>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</si>
  <si>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</si>
  <si>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</si>
  <si>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</si>
  <si>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</si>
  <si>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</si>
  <si>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</si>
  <si>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</si>
  <si>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</si>
  <si>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</si>
  <si>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</si>
  <si>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</si>
  <si>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</si>
  <si>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</si>
  <si>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</si>
  <si>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</si>
  <si>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</si>
  <si>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</si>
  <si>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</si>
  <si>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</si>
  <si>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</si>
  <si>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</si>
  <si>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</si>
  <si>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</si>
  <si>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</si>
  <si>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</si>
  <si>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</si>
  <si>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</si>
  <si>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</si>
  <si>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</si>
  <si>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</si>
  <si>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</si>
  <si>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</si>
  <si>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</si>
  <si>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</si>
  <si>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</si>
  <si>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</si>
  <si>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</si>
  <si>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</si>
  <si>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</si>
  <si>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</si>
  <si>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</si>
  <si>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</si>
  <si>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</si>
  <si>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</si>
  <si>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</si>
  <si>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</si>
  <si>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</si>
  <si>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</si>
  <si>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</si>
  <si>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</si>
  <si>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</si>
  <si>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</si>
  <si>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</si>
  <si>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</si>
  <si>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</si>
  <si>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</si>
  <si>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</si>
  <si>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</si>
  <si>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</si>
  <si>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</si>
  <si>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</si>
  <si>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</si>
  <si>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</si>
  <si>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</si>
  <si>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</si>
  <si>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</si>
  <si>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</si>
  <si>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</si>
  <si>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</si>
  <si>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</si>
  <si>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</si>
  <si>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</si>
  <si>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</si>
  <si>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</si>
  <si>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</si>
  <si>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</si>
  <si>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</si>
  <si>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</si>
  <si>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</si>
  <si>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</si>
  <si>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</si>
  <si>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</si>
  <si>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</si>
  <si>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</si>
  <si>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</si>
  <si>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</si>
  <si>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</si>
  <si>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</si>
  <si>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</si>
  <si>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</si>
  <si>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</si>
  <si>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</si>
  <si>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</si>
  <si>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</si>
  <si>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</si>
  <si>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</si>
  <si>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</si>
  <si>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</si>
  <si>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</si>
  <si>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</si>
  <si>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</si>
  <si>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</si>
  <si>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</si>
  <si>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</si>
  <si>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</si>
  <si>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</si>
  <si>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</si>
  <si>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</si>
  <si>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</si>
  <si>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</si>
  <si>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</si>
  <si>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</si>
  <si>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</si>
  <si>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</si>
  <si>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</si>
  <si>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</si>
  <si>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</si>
  <si>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</si>
  <si>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</si>
  <si>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</si>
  <si>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</si>
  <si>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</si>
  <si>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</si>
  <si>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</si>
  <si>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</si>
  <si>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</si>
  <si>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</si>
  <si>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</si>
  <si>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</si>
  <si>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</si>
  <si>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</si>
  <si>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</si>
  <si>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</si>
  <si>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</si>
  <si>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</si>
  <si>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</si>
  <si>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</si>
  <si>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</si>
  <si>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</si>
  <si>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</si>
  <si>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</si>
  <si>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</si>
  <si>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</si>
  <si>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</si>
  <si>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</si>
  <si>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</si>
  <si>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</si>
  <si>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</si>
  <si>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</si>
  <si>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</si>
  <si>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</si>
  <si>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</si>
  <si>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</si>
  <si>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</si>
  <si>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</si>
  <si>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</si>
  <si>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</si>
  <si>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</si>
  <si>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</si>
  <si>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</si>
  <si>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</si>
  <si>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Hellfire</t>
  </si>
  <si>
    <t>Acelspace</t>
  </si>
  <si>
    <t>Fusée expérimentale.</t>
  </si>
  <si>
    <t>Parabolique (arrondie)</t>
  </si>
  <si>
    <t>Plusieurs diamètres.</t>
  </si>
  <si>
    <t>Blanc - Corps:Français</t>
  </si>
  <si>
    <t>Rouge/Blanc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</si>
</sst>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Hyperlink"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45</c:v>
                </c:pt>
                <c:pt idx="2">
                  <c:v>45</c:v>
                </c:pt>
                <c:pt idx="3">
                  <c:v>50</c:v>
                </c:pt>
                <c:pt idx="4">
                  <c:v>50</c:v>
                </c:pt>
                <c:pt idx="5">
                  <c:v>50</c:v>
                </c:pt>
                <c:pt idx="6">
                  <c:v>50</c:v>
                </c:pt>
                <c:pt idx="7">
                  <c:v>0</c:v>
                </c:pt>
              </c:numCache>
            </c:numRef>
          </c:xVal>
          <c:yVal>
            <c:numRef>
              <c:f>Stabilito!$C$124:$C$131</c:f>
              <c:numCache>
                <c:formatCode>0</c:formatCode>
                <c:ptCount val="8"/>
                <c:pt idx="0">
                  <c:v>-35</c:v>
                </c:pt>
                <c:pt idx="1">
                  <c:v>-35</c:v>
                </c:pt>
                <c:pt idx="2">
                  <c:v>-35</c:v>
                </c:pt>
                <c:pt idx="3">
                  <c:v>-185</c:v>
                </c:pt>
                <c:pt idx="4">
                  <c:v>-500</c:v>
                </c:pt>
                <c:pt idx="5">
                  <c:v>-550</c:v>
                </c:pt>
                <c:pt idx="6">
                  <c:v>-2195</c:v>
                </c:pt>
                <c:pt idx="7">
                  <c:v>-2195</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50</c:v>
                </c:pt>
                <c:pt idx="1">
                  <c:v>178</c:v>
                </c:pt>
                <c:pt idx="2">
                  <c:v>178</c:v>
                </c:pt>
                <c:pt idx="3">
                  <c:v>50</c:v>
                </c:pt>
                <c:pt idx="4">
                  <c:v>50</c:v>
                </c:pt>
              </c:numCache>
            </c:numRef>
          </c:xVal>
          <c:yVal>
            <c:numRef>
              <c:f>Stabilito!$C$132:$C$136</c:f>
              <c:numCache>
                <c:formatCode>0</c:formatCode>
                <c:ptCount val="5"/>
                <c:pt idx="0">
                  <c:v>-1895</c:v>
                </c:pt>
                <c:pt idx="1">
                  <c:v>-1965</c:v>
                </c:pt>
                <c:pt idx="2">
                  <c:v>-2115</c:v>
                </c:pt>
                <c:pt idx="3">
                  <c:v>-2185</c:v>
                </c:pt>
                <c:pt idx="4">
                  <c:v>-1895</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-45</c:v>
                </c:pt>
                <c:pt idx="2">
                  <c:v>-45</c:v>
                </c:pt>
                <c:pt idx="3">
                  <c:v>-50</c:v>
                </c:pt>
                <c:pt idx="4">
                  <c:v>-50</c:v>
                </c:pt>
                <c:pt idx="5">
                  <c:v>-50</c:v>
                </c:pt>
                <c:pt idx="6">
                  <c:v>-50</c:v>
                </c:pt>
                <c:pt idx="7">
                  <c:v>0</c:v>
                </c:pt>
              </c:numCache>
            </c:numRef>
          </c:xVal>
          <c:yVal>
            <c:numRef>
              <c:f>Stabilito!$C$124:$C$131</c:f>
              <c:numCache>
                <c:formatCode>0</c:formatCode>
                <c:ptCount val="8"/>
                <c:pt idx="0">
                  <c:v>-35</c:v>
                </c:pt>
                <c:pt idx="1">
                  <c:v>-35</c:v>
                </c:pt>
                <c:pt idx="2">
                  <c:v>-35</c:v>
                </c:pt>
                <c:pt idx="3">
                  <c:v>-185</c:v>
                </c:pt>
                <c:pt idx="4">
                  <c:v>-500</c:v>
                </c:pt>
                <c:pt idx="5">
                  <c:v>-550</c:v>
                </c:pt>
                <c:pt idx="6">
                  <c:v>-2195</c:v>
                </c:pt>
                <c:pt idx="7">
                  <c:v>-2195</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-50</c:v>
                </c:pt>
                <c:pt idx="1">
                  <c:v>-178</c:v>
                </c:pt>
                <c:pt idx="2">
                  <c:v>-178</c:v>
                </c:pt>
                <c:pt idx="3">
                  <c:v>-50</c:v>
                </c:pt>
                <c:pt idx="4">
                  <c:v>-50</c:v>
                </c:pt>
              </c:numCache>
            </c:numRef>
          </c:xVal>
          <c:yVal>
            <c:numRef>
              <c:f>Stabilito!$C$132:$C$136</c:f>
              <c:numCache>
                <c:formatCode>0</c:formatCode>
                <c:ptCount val="5"/>
                <c:pt idx="0">
                  <c:v>-1895</c:v>
                </c:pt>
                <c:pt idx="1">
                  <c:v>-1965</c:v>
                </c:pt>
                <c:pt idx="2">
                  <c:v>-2115</c:v>
                </c:pt>
                <c:pt idx="3">
                  <c:v>-2185</c:v>
                </c:pt>
                <c:pt idx="4">
                  <c:v>-1895</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-1349.0726306465899</c:v>
                </c:pt>
                <c:pt idx="1">
                  <c:v>-1274.1055900621116</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117.11610114861153</c:v>
                </c:pt>
                <c:pt idx="2">
                  <c:v>117.11610114861153</c:v>
                </c:pt>
                <c:pt idx="3">
                  <c:v>0</c:v>
                </c:pt>
              </c:numCache>
            </c:numRef>
          </c:xVal>
          <c:yVal>
            <c:numRef>
              <c:f>Stabilito!$C$151:$C$154</c:f>
              <c:numCache>
                <c:formatCode>0</c:formatCode>
                <c:ptCount val="4"/>
                <c:pt idx="0">
                  <c:v>-1761.3903210851804</c:v>
                </c:pt>
                <c:pt idx="1">
                  <c:v>-1761.3903210851804</c:v>
                </c:pt>
                <c:pt idx="2">
                  <c:v>-1761.3903210851804</c:v>
                </c:pt>
                <c:pt idx="3">
                  <c:v>-1761.3903210851804</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731.66666666666663</c:v>
                </c:pt>
                <c:pt idx="1">
                  <c:v>-731.66666666666663</c:v>
                </c:pt>
              </c:numCache>
            </c:numRef>
          </c:xVal>
          <c:yVal>
            <c:numRef>
              <c:f>Stabilito!$C$168:$C$169</c:f>
              <c:numCache>
                <c:formatCode>0</c:formatCode>
                <c:ptCount val="2"/>
                <c:pt idx="0">
                  <c:v>-2216.9499999999998</c:v>
                </c:pt>
                <c:pt idx="1">
                  <c:v>-2216.9499999999998</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-1707</c:v>
                </c:pt>
                <c:pt idx="1">
                  <c:v>-1707</c:v>
                </c:pt>
                <c:pt idx="2">
                  <c:v>-2195</c:v>
                </c:pt>
                <c:pt idx="3">
                  <c:v>-2195</c:v>
                </c:pt>
                <c:pt idx="4">
                  <c:v>-1707</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22.5</c:v>
                </c:pt>
                <c:pt idx="2">
                  <c:v>31.499999999999996</c:v>
                </c:pt>
                <c:pt idx="3">
                  <c:v>39.6</c:v>
                </c:pt>
                <c:pt idx="4">
                  <c:v>42.75</c:v>
                </c:pt>
                <c:pt idx="5">
                  <c:v>45</c:v>
                </c:pt>
              </c:numCache>
            </c:numRef>
          </c:xVal>
          <c:yVal>
            <c:numRef>
              <c:f>Stabilito!$C$175:$C$180</c:f>
              <c:numCache>
                <c:formatCode>0</c:formatCode>
                <c:ptCount val="6"/>
                <c:pt idx="0">
                  <c:v>0</c:v>
                </c:pt>
                <c:pt idx="1">
                  <c:v>-3.5</c:v>
                </c:pt>
                <c:pt idx="2">
                  <c:v>-8.75</c:v>
                </c:pt>
                <c:pt idx="3">
                  <c:v>-17.5</c:v>
                </c:pt>
                <c:pt idx="4">
                  <c:v>-26.25</c:v>
                </c:pt>
                <c:pt idx="5">
                  <c:v>-35</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-22.5</c:v>
                </c:pt>
                <c:pt idx="2">
                  <c:v>-31.499999999999996</c:v>
                </c:pt>
                <c:pt idx="3">
                  <c:v>-39.6</c:v>
                </c:pt>
                <c:pt idx="4">
                  <c:v>-42.75</c:v>
                </c:pt>
                <c:pt idx="5">
                  <c:v>-45</c:v>
                </c:pt>
              </c:numCache>
            </c:numRef>
          </c:xVal>
          <c:yVal>
            <c:numRef>
              <c:f>Stabilito!$C$175:$C$180</c:f>
              <c:numCache>
                <c:formatCode>0</c:formatCode>
                <c:ptCount val="6"/>
                <c:pt idx="0">
                  <c:v>0</c:v>
                </c:pt>
                <c:pt idx="1">
                  <c:v>-3.5</c:v>
                </c:pt>
                <c:pt idx="2">
                  <c:v>-8.75</c:v>
                </c:pt>
                <c:pt idx="3">
                  <c:v>-17.5</c:v>
                </c:pt>
                <c:pt idx="4">
                  <c:v>-26.25</c:v>
                </c:pt>
                <c:pt idx="5">
                  <c:v>-35</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-178</c:v>
                </c:pt>
                <c:pt idx="1">
                  <c:v>-114</c:v>
                </c:pt>
                <c:pt idx="2">
                  <c:v>-50</c:v>
                </c:pt>
              </c:numCache>
            </c:numRef>
          </c:xVal>
          <c:yVal>
            <c:numRef>
              <c:f>Stabilito!$C$137:$C$139</c:f>
              <c:numCache>
                <c:formatCode>0</c:formatCode>
                <c:ptCount val="3"/>
                <c:pt idx="0">
                  <c:v>-2258.1666666666665</c:v>
                </c:pt>
                <c:pt idx="1">
                  <c:v>-2258.1666666666665</c:v>
                </c:pt>
                <c:pt idx="2">
                  <c:v>-2258.1666666666665</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-251.16666666666669</c:v>
                </c:pt>
                <c:pt idx="1">
                  <c:v>-251.16666666666669</c:v>
                </c:pt>
                <c:pt idx="2">
                  <c:v>-251.16666666666669</c:v>
                </c:pt>
              </c:numCache>
            </c:numRef>
          </c:xVal>
          <c:yVal>
            <c:numRef>
              <c:f>Stabilito!$C$143:$C$145</c:f>
              <c:numCache>
                <c:formatCode>0</c:formatCode>
                <c:ptCount val="3"/>
                <c:pt idx="0">
                  <c:v>-1895</c:v>
                </c:pt>
                <c:pt idx="1">
                  <c:v>-1930</c:v>
                </c:pt>
                <c:pt idx="2">
                  <c:v>-1965</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-287.75</c:v>
                </c:pt>
                <c:pt idx="1">
                  <c:v>-287.75</c:v>
                </c:pt>
                <c:pt idx="2">
                  <c:v>-287.75</c:v>
                </c:pt>
              </c:numCache>
            </c:numRef>
          </c:xVal>
          <c:yVal>
            <c:numRef>
              <c:f>Stabilito!$C$146:$C$148</c:f>
              <c:numCache>
                <c:formatCode>0</c:formatCode>
                <c:ptCount val="3"/>
                <c:pt idx="0">
                  <c:v>-1965</c:v>
                </c:pt>
                <c:pt idx="1">
                  <c:v>-2040</c:v>
                </c:pt>
                <c:pt idx="2">
                  <c:v>-2115</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287.75</c:v>
                </c:pt>
                <c:pt idx="1">
                  <c:v>287.75</c:v>
                </c:pt>
                <c:pt idx="2">
                  <c:v>287.75</c:v>
                </c:pt>
              </c:numCache>
            </c:numRef>
          </c:xVal>
          <c:yVal>
            <c:numRef>
              <c:f>Stabilito!$C$140:$C$142</c:f>
              <c:numCache>
                <c:formatCode>0</c:formatCode>
                <c:ptCount val="3"/>
                <c:pt idx="0">
                  <c:v>-1895</c:v>
                </c:pt>
                <c:pt idx="1">
                  <c:v>-2040</c:v>
                </c:pt>
                <c:pt idx="2">
                  <c:v>-2185</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-287.75</c:v>
                </c:pt>
                <c:pt idx="1">
                  <c:v>-287.75</c:v>
                </c:pt>
                <c:pt idx="2">
                  <c:v>-287.75</c:v>
                </c:pt>
              </c:numCache>
            </c:numRef>
          </c:xVal>
          <c:yVal>
            <c:numRef>
              <c:f>Stabilito!$C$155:$C$157</c:f>
              <c:numCache>
                <c:formatCode>0</c:formatCode>
                <c:ptCount val="3"/>
                <c:pt idx="0">
                  <c:v>-1311.5891103543509</c:v>
                </c:pt>
                <c:pt idx="1">
                  <c:v>-1536.4897157197656</c:v>
                </c:pt>
                <c:pt idx="2">
                  <c:v>-1761.3903210851804</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3.4820000000000002</c:v>
                </c:pt>
                <c:pt idx="2">
                  <c:v>5.3319999999999999</c:v>
                </c:pt>
                <c:pt idx="3">
                  <c:v>7.1820000000000004</c:v>
                </c:pt>
                <c:pt idx="4">
                  <c:v>9.032</c:v>
                </c:pt>
                <c:pt idx="5">
                  <c:v>10.882</c:v>
                </c:pt>
                <c:pt idx="6">
                  <c:v>12.732000000000001</c:v>
                </c:pt>
                <c:pt idx="7">
                  <c:v>14.582000000000001</c:v>
                </c:pt>
                <c:pt idx="8">
                  <c:v>16.432000000000002</c:v>
                </c:pt>
              </c:numCache>
            </c:numRef>
          </c:xVal>
          <c:yVal>
            <c:numRef>
              <c:f>Abaco!$K$43:$K$51</c:f>
              <c:numCache>
                <c:formatCode>General" m/s"</c:formatCode>
                <c:ptCount val="9"/>
                <c:pt idx="0">
                  <c:v>1002.4406316061013</c:v>
                </c:pt>
                <c:pt idx="1">
                  <c:v>582.47508435308862</c:v>
                </c:pt>
                <c:pt idx="2">
                  <c:v>378.99797851487187</c:v>
                </c:pt>
                <c:pt idx="3">
                  <c:v>275.5384367003706</c:v>
                </c:pt>
                <c:pt idx="4">
                  <c:v>214.25753019315698</c:v>
                </c:pt>
                <c:pt idx="5">
                  <c:v>173.99485460043871</c:v>
                </c:pt>
                <c:pt idx="6">
                  <c:v>145.59609222421099</c:v>
                </c:pt>
                <c:pt idx="7">
                  <c:v>124.51820039590739</c:v>
                </c:pt>
                <c:pt idx="8">
                  <c:v>108.26504041025891</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100 mm</c:v>
                </c:pt>
              </c:strCache>
            </c:strRef>
          </c:tx>
          <c:xVal>
            <c:numRef>
              <c:f>Abaco!$D$52:$D$60</c:f>
              <c:numCache>
                <c:formatCode>General\ "kg"</c:formatCode>
                <c:ptCount val="9"/>
                <c:pt idx="0">
                  <c:v>1.6319999999999999</c:v>
                </c:pt>
                <c:pt idx="1">
                  <c:v>3.4820000000000002</c:v>
                </c:pt>
                <c:pt idx="2">
                  <c:v>5.3319999999999999</c:v>
                </c:pt>
                <c:pt idx="3">
                  <c:v>7.1820000000000004</c:v>
                </c:pt>
                <c:pt idx="4">
                  <c:v>9.032</c:v>
                </c:pt>
                <c:pt idx="5">
                  <c:v>10.882</c:v>
                </c:pt>
                <c:pt idx="6">
                  <c:v>12.732000000000001</c:v>
                </c:pt>
                <c:pt idx="7">
                  <c:v>14.582000000000001</c:v>
                </c:pt>
                <c:pt idx="8">
                  <c:v>16.432000000000002</c:v>
                </c:pt>
              </c:numCache>
            </c:numRef>
          </c:xVal>
          <c:yVal>
            <c:numRef>
              <c:f>Abaco!$K$52:$K$60</c:f>
              <c:numCache>
                <c:formatCode>General" m/s"</c:formatCode>
                <c:ptCount val="9"/>
                <c:pt idx="0">
                  <c:v>584.78447067639161</c:v>
                </c:pt>
                <c:pt idx="1">
                  <c:v>470.43647637893935</c:v>
                </c:pt>
                <c:pt idx="2">
                  <c:v>343.9951600861977</c:v>
                </c:pt>
                <c:pt idx="3">
                  <c:v>261.2884235928878</c:v>
                </c:pt>
                <c:pt idx="4">
                  <c:v>207.31437450453188</c:v>
                </c:pt>
                <c:pt idx="5">
                  <c:v>170.17473950689444</c:v>
                </c:pt>
                <c:pt idx="6">
                  <c:v>143.30552499377055</c:v>
                </c:pt>
                <c:pt idx="7">
                  <c:v>123.05469602126151</c:v>
                </c:pt>
                <c:pt idx="8">
                  <c:v>107.28340690638505</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150 mm</c:v>
                </c:pt>
              </c:strCache>
            </c:strRef>
          </c:tx>
          <c:xVal>
            <c:numRef>
              <c:f>Abaco!$D$61:$D$69</c:f>
              <c:numCache>
                <c:formatCode>General\ "kg"</c:formatCode>
                <c:ptCount val="9"/>
                <c:pt idx="0">
                  <c:v>1.6319999999999999</c:v>
                </c:pt>
                <c:pt idx="1">
                  <c:v>3.4820000000000002</c:v>
                </c:pt>
                <c:pt idx="2">
                  <c:v>5.3319999999999999</c:v>
                </c:pt>
                <c:pt idx="3">
                  <c:v>7.1820000000000004</c:v>
                </c:pt>
                <c:pt idx="4">
                  <c:v>9.032</c:v>
                </c:pt>
                <c:pt idx="5">
                  <c:v>10.882</c:v>
                </c:pt>
                <c:pt idx="6">
                  <c:v>12.732000000000001</c:v>
                </c:pt>
                <c:pt idx="7">
                  <c:v>14.582000000000001</c:v>
                </c:pt>
                <c:pt idx="8">
                  <c:v>16.432000000000002</c:v>
                </c:pt>
              </c:numCache>
            </c:numRef>
          </c:xVal>
          <c:yVal>
            <c:numRef>
              <c:f>Abaco!$K$61:$K$69</c:f>
              <c:numCache>
                <c:formatCode>General" m/s"</c:formatCode>
                <c:ptCount val="9"/>
                <c:pt idx="0">
                  <c:v>391.8854912907172</c:v>
                </c:pt>
                <c:pt idx="1">
                  <c:v>362.55823689982969</c:v>
                </c:pt>
                <c:pt idx="2">
                  <c:v>298.07465446903143</c:v>
                </c:pt>
                <c:pt idx="3">
                  <c:v>240.03406572242031</c:v>
                </c:pt>
                <c:pt idx="4">
                  <c:v>196.29583657092664</c:v>
                </c:pt>
                <c:pt idx="5">
                  <c:v>163.9032607289405</c:v>
                </c:pt>
                <c:pt idx="6">
                  <c:v>139.46790823198614</c:v>
                </c:pt>
                <c:pt idx="7">
                  <c:v>120.57054273593612</c:v>
                </c:pt>
                <c:pt idx="8">
                  <c:v>105.60240009470972</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3.4820000000000002</c:v>
                </c:pt>
                <c:pt idx="2">
                  <c:v>5.3319999999999999</c:v>
                </c:pt>
                <c:pt idx="3">
                  <c:v>7.1820000000000004</c:v>
                </c:pt>
                <c:pt idx="4">
                  <c:v>9.032</c:v>
                </c:pt>
                <c:pt idx="5">
                  <c:v>10.882</c:v>
                </c:pt>
                <c:pt idx="6">
                  <c:v>12.732000000000001</c:v>
                </c:pt>
                <c:pt idx="7">
                  <c:v>14.582000000000001</c:v>
                </c:pt>
                <c:pt idx="8">
                  <c:v>16.432000000000002</c:v>
                </c:pt>
              </c:numCache>
            </c:numRef>
          </c:xVal>
          <c:yVal>
            <c:numRef>
              <c:f>Abaco!$L$43:$L$51</c:f>
              <c:numCache>
                <c:formatCode>General" m"</c:formatCode>
                <c:ptCount val="9"/>
                <c:pt idx="0">
                  <c:v>2763.5913417554384</c:v>
                </c:pt>
                <c:pt idx="1">
                  <c:v>3934.6225418558392</c:v>
                </c:pt>
                <c:pt idx="2">
                  <c:v>3562.823317875178</c:v>
                </c:pt>
                <c:pt idx="3">
                  <c:v>2762.7777607636617</c:v>
                </c:pt>
                <c:pt idx="4">
                  <c:v>2034.4882553587943</c:v>
                </c:pt>
                <c:pt idx="5">
                  <c:v>1494.7497669867946</c:v>
                </c:pt>
                <c:pt idx="6">
                  <c:v>1117.4063946925253</c:v>
                </c:pt>
                <c:pt idx="7">
                  <c:v>854.42670728371809</c:v>
                </c:pt>
                <c:pt idx="8">
                  <c:v>668.01959932278942</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100 mm</c:v>
                </c:pt>
              </c:strCache>
            </c:strRef>
          </c:tx>
          <c:xVal>
            <c:numRef>
              <c:f>Abaco!$D$52:$D$60</c:f>
              <c:numCache>
                <c:formatCode>General\ "kg"</c:formatCode>
                <c:ptCount val="9"/>
                <c:pt idx="0">
                  <c:v>1.6319999999999999</c:v>
                </c:pt>
                <c:pt idx="1">
                  <c:v>3.4820000000000002</c:v>
                </c:pt>
                <c:pt idx="2">
                  <c:v>5.3319999999999999</c:v>
                </c:pt>
                <c:pt idx="3">
                  <c:v>7.1820000000000004</c:v>
                </c:pt>
                <c:pt idx="4">
                  <c:v>9.032</c:v>
                </c:pt>
                <c:pt idx="5">
                  <c:v>10.882</c:v>
                </c:pt>
                <c:pt idx="6">
                  <c:v>12.732000000000001</c:v>
                </c:pt>
                <c:pt idx="7">
                  <c:v>14.582000000000001</c:v>
                </c:pt>
                <c:pt idx="8">
                  <c:v>16.432000000000002</c:v>
                </c:pt>
              </c:numCache>
            </c:numRef>
          </c:xVal>
          <c:yVal>
            <c:numRef>
              <c:f>Abaco!$L$52:$L$60</c:f>
              <c:numCache>
                <c:formatCode>General" m"</c:formatCode>
                <c:ptCount val="9"/>
                <c:pt idx="0">
                  <c:v>1267.6998729939087</c:v>
                </c:pt>
                <c:pt idx="1">
                  <c:v>1745.8704653703851</c:v>
                </c:pt>
                <c:pt idx="2">
                  <c:v>1821.9692441365819</c:v>
                </c:pt>
                <c:pt idx="3">
                  <c:v>1670.7978325738875</c:v>
                </c:pt>
                <c:pt idx="4">
                  <c:v>1424.9355924887723</c:v>
                </c:pt>
                <c:pt idx="5">
                  <c:v>1168.8643612905353</c:v>
                </c:pt>
                <c:pt idx="6">
                  <c:v>943.12709451995784</c:v>
                </c:pt>
                <c:pt idx="7">
                  <c:v>759.08421887500151</c:v>
                </c:pt>
                <c:pt idx="8">
                  <c:v>614.15416497914396</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150 mm</c:v>
                </c:pt>
              </c:strCache>
            </c:strRef>
          </c:tx>
          <c:xVal>
            <c:numRef>
              <c:f>Abaco!$D$61:$D$69</c:f>
              <c:numCache>
                <c:formatCode>General\ "kg"</c:formatCode>
                <c:ptCount val="9"/>
                <c:pt idx="0">
                  <c:v>1.6319999999999999</c:v>
                </c:pt>
                <c:pt idx="1">
                  <c:v>3.4820000000000002</c:v>
                </c:pt>
                <c:pt idx="2">
                  <c:v>5.3319999999999999</c:v>
                </c:pt>
                <c:pt idx="3">
                  <c:v>7.1820000000000004</c:v>
                </c:pt>
                <c:pt idx="4">
                  <c:v>9.032</c:v>
                </c:pt>
                <c:pt idx="5">
                  <c:v>10.882</c:v>
                </c:pt>
                <c:pt idx="6">
                  <c:v>12.732000000000001</c:v>
                </c:pt>
                <c:pt idx="7">
                  <c:v>14.582000000000001</c:v>
                </c:pt>
                <c:pt idx="8">
                  <c:v>16.432000000000002</c:v>
                </c:pt>
              </c:numCache>
            </c:numRef>
          </c:xVal>
          <c:yVal>
            <c:numRef>
              <c:f>Abaco!$L$61:$L$69</c:f>
              <c:numCache>
                <c:formatCode>General" m"</c:formatCode>
                <c:ptCount val="9"/>
                <c:pt idx="0">
                  <c:v>785.60688383911724</c:v>
                </c:pt>
                <c:pt idx="1">
                  <c:v>1016.2681652306067</c:v>
                </c:pt>
                <c:pt idx="2">
                  <c:v>1099.6864489158829</c:v>
                </c:pt>
                <c:pt idx="3">
                  <c:v>1080.4677160567937</c:v>
                </c:pt>
                <c:pt idx="4">
                  <c:v>997.17555364382576</c:v>
                </c:pt>
                <c:pt idx="5">
                  <c:v>882.44654061346762</c:v>
                </c:pt>
                <c:pt idx="6">
                  <c:v>760.08481176006558</c:v>
                </c:pt>
                <c:pt idx="7">
                  <c:v>644.58811999300531</c:v>
                </c:pt>
                <c:pt idx="8">
                  <c:v>542.79590643447978</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3.4820000000000002</c:v>
                </c:pt>
                <c:pt idx="2">
                  <c:v>5.3319999999999999</c:v>
                </c:pt>
                <c:pt idx="3">
                  <c:v>7.1820000000000004</c:v>
                </c:pt>
                <c:pt idx="4">
                  <c:v>9.032</c:v>
                </c:pt>
                <c:pt idx="5">
                  <c:v>10.882</c:v>
                </c:pt>
                <c:pt idx="6">
                  <c:v>12.732000000000001</c:v>
                </c:pt>
                <c:pt idx="7">
                  <c:v>14.582000000000001</c:v>
                </c:pt>
                <c:pt idx="8">
                  <c:v>16.432000000000002</c:v>
                </c:pt>
              </c:numCache>
            </c:numRef>
          </c:xVal>
          <c:yVal>
            <c:numRef>
              <c:f>Abaco!$M$43:$M$51</c:f>
              <c:numCache>
                <c:formatCode>General" s"</c:formatCode>
                <c:ptCount val="9"/>
                <c:pt idx="0">
                  <c:v>13.944383064217877</c:v>
                </c:pt>
                <c:pt idx="1">
                  <c:v>22.73723544961587</c:v>
                </c:pt>
                <c:pt idx="2">
                  <c:v>24.393747060201285</c:v>
                </c:pt>
                <c:pt idx="3">
                  <c:v>22.914125395463323</c:v>
                </c:pt>
                <c:pt idx="4">
                  <c:v>20.404335501844866</c:v>
                </c:pt>
                <c:pt idx="5">
                  <c:v>17.900363289192907</c:v>
                </c:pt>
                <c:pt idx="6">
                  <c:v>15.734064736605156</c:v>
                </c:pt>
                <c:pt idx="7">
                  <c:v>13.940752492797447</c:v>
                </c:pt>
                <c:pt idx="8">
                  <c:v>12.468911648579189</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100 mm</c:v>
                </c:pt>
              </c:strCache>
            </c:strRef>
          </c:tx>
          <c:xVal>
            <c:numRef>
              <c:f>Abaco!$D$52:$D$60</c:f>
              <c:numCache>
                <c:formatCode>General\ "kg"</c:formatCode>
                <c:ptCount val="9"/>
                <c:pt idx="0">
                  <c:v>1.6319999999999999</c:v>
                </c:pt>
                <c:pt idx="1">
                  <c:v>3.4820000000000002</c:v>
                </c:pt>
                <c:pt idx="2">
                  <c:v>5.3319999999999999</c:v>
                </c:pt>
                <c:pt idx="3">
                  <c:v>7.1820000000000004</c:v>
                </c:pt>
                <c:pt idx="4">
                  <c:v>9.032</c:v>
                </c:pt>
                <c:pt idx="5">
                  <c:v>10.882</c:v>
                </c:pt>
                <c:pt idx="6">
                  <c:v>12.732000000000001</c:v>
                </c:pt>
                <c:pt idx="7">
                  <c:v>14.582000000000001</c:v>
                </c:pt>
                <c:pt idx="8">
                  <c:v>16.432000000000002</c:v>
                </c:pt>
              </c:numCache>
            </c:numRef>
          </c:xVal>
          <c:yVal>
            <c:numRef>
              <c:f>Abaco!$M$52:$M$60</c:f>
              <c:numCache>
                <c:formatCode>General" s"</c:formatCode>
                <c:ptCount val="9"/>
                <c:pt idx="0">
                  <c:v>8.3383138307782101</c:v>
                </c:pt>
                <c:pt idx="1">
                  <c:v>13.803799670435307</c:v>
                </c:pt>
                <c:pt idx="2">
                  <c:v>16.096084536304165</c:v>
                </c:pt>
                <c:pt idx="3">
                  <c:v>16.711293562311379</c:v>
                </c:pt>
                <c:pt idx="4">
                  <c:v>16.289245388318289</c:v>
                </c:pt>
                <c:pt idx="5">
                  <c:v>15.314202000151745</c:v>
                </c:pt>
                <c:pt idx="6">
                  <c:v>14.12931047940716</c:v>
                </c:pt>
                <c:pt idx="7">
                  <c:v>12.934869246662462</c:v>
                </c:pt>
                <c:pt idx="8">
                  <c:v>11.825141683018163</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150 mm</c:v>
                </c:pt>
              </c:strCache>
            </c:strRef>
          </c:tx>
          <c:xVal>
            <c:numRef>
              <c:f>Abaco!$D$61:$D$69</c:f>
              <c:numCache>
                <c:formatCode>General\ "kg"</c:formatCode>
                <c:ptCount val="9"/>
                <c:pt idx="0">
                  <c:v>1.6319999999999999</c:v>
                </c:pt>
                <c:pt idx="1">
                  <c:v>3.4820000000000002</c:v>
                </c:pt>
                <c:pt idx="2">
                  <c:v>5.3319999999999999</c:v>
                </c:pt>
                <c:pt idx="3">
                  <c:v>7.1820000000000004</c:v>
                </c:pt>
                <c:pt idx="4">
                  <c:v>9.032</c:v>
                </c:pt>
                <c:pt idx="5">
                  <c:v>10.882</c:v>
                </c:pt>
                <c:pt idx="6">
                  <c:v>12.732000000000001</c:v>
                </c:pt>
                <c:pt idx="7">
                  <c:v>14.582000000000001</c:v>
                </c:pt>
                <c:pt idx="8">
                  <c:v>16.432000000000002</c:v>
                </c:pt>
              </c:numCache>
            </c:numRef>
          </c:xVal>
          <c:yVal>
            <c:numRef>
              <c:f>Abaco!$M$61:$M$69</c:f>
              <c:numCache>
                <c:formatCode>General" s"</c:formatCode>
                <c:ptCount val="9"/>
                <c:pt idx="0">
                  <c:v>6.1266757557450582</c:v>
                </c:pt>
                <c:pt idx="1">
                  <c:v>9.9072424957911398</c:v>
                </c:pt>
                <c:pt idx="2">
                  <c:v>11.829960201134694</c:v>
                </c:pt>
                <c:pt idx="3">
                  <c:v>12.783562534863885</c:v>
                </c:pt>
                <c:pt idx="4">
                  <c:v>13.056127822330144</c:v>
                </c:pt>
                <c:pt idx="5">
                  <c:v>12.852100125035514</c:v>
                </c:pt>
                <c:pt idx="6">
                  <c:v>12.345436755701238</c:v>
                </c:pt>
                <c:pt idx="7">
                  <c:v>11.676720544014618</c:v>
                </c:pt>
                <c:pt idx="8">
                  <c:v>10.94668872934885</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4.1231769043859048</c:v>
                </c:pt>
                <c:pt idx="1">
                  <c:v>4.1231769043859048</c:v>
                </c:pt>
                <c:pt idx="2">
                  <c:v>4.8728473102306884</c:v>
                </c:pt>
                <c:pt idx="3">
                  <c:v>4.8728473102306884</c:v>
                </c:pt>
              </c:numCache>
            </c:numRef>
          </c:xVal>
          <c:yVal>
            <c:numRef>
              <c:f>Stabilito!$C$190:$C$193</c:f>
              <c:numCache>
                <c:formatCode>0.00</c:formatCode>
                <c:ptCount val="4"/>
                <c:pt idx="0">
                  <c:v>17.567415172291732</c:v>
                </c:pt>
                <c:pt idx="1">
                  <c:v>17.567415172291732</c:v>
                </c:pt>
                <c:pt idx="2">
                  <c:v>17.567415172291732</c:v>
                </c:pt>
                <c:pt idx="3">
                  <c:v>17.567415172291732</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4.8728473102306884</c:v>
                </c:pt>
                <c:pt idx="1">
                  <c:v>4.1231769043859048</c:v>
                </c:pt>
              </c:numCache>
            </c:numRef>
          </c:xVal>
          <c:yVal>
            <c:numRef>
              <c:f>Stabilito!$C$193:$C$194</c:f>
              <c:numCache>
                <c:formatCode>0.00</c:formatCode>
                <c:ptCount val="2"/>
                <c:pt idx="0">
                  <c:v>17.567415172291732</c:v>
                </c:pt>
                <c:pt idx="1">
                  <c:v>17.567415172291732</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1336.2190763527988</c:v>
                </c:pt>
              </c:numCache>
            </c:numRef>
          </c:xVal>
          <c:yVal>
            <c:numRef>
              <c:f>Trajecto!$C$121</c:f>
              <c:numCache>
                <c:formatCode>0</c:formatCode>
                <c:ptCount val="1"/>
                <c:pt idx="0">
                  <c:v>1336.2190763527988</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12.420144884238734</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48.676027829865149</c:v>
                </c:pt>
                <c:pt idx="201">
                  <c:v>#N/A</c:v>
                </c:pt>
                <c:pt idx="202">
                  <c:v>#N/A</c:v>
                </c:pt>
                <c:pt idx="203">
                  <c:v>#N/A</c:v>
                </c:pt>
                <c:pt idx="204">
                  <c:v>#N/A</c:v>
                </c:pt>
                <c:pt idx="205">
                  <c:v>#N/A</c:v>
                </c:pt>
                <c:pt idx="206">
                  <c:v>#N/A</c:v>
                </c:pt>
                <c:pt idx="207">
                  <c:v>#N/A</c:v>
                </c:pt>
                <c:pt idx="208">
                  <c:v>#N/A</c:v>
                </c:pt>
                <c:pt idx="209">
                  <c:v>#N/A</c:v>
                </c:pt>
                <c:pt idx="210">
                  <c:v>86.620432899073691</c:v>
                </c:pt>
                <c:pt idx="211">
                  <c:v>#N/A</c:v>
                </c:pt>
                <c:pt idx="212">
                  <c:v>#N/A</c:v>
                </c:pt>
                <c:pt idx="213">
                  <c:v>#N/A</c:v>
                </c:pt>
                <c:pt idx="214">
                  <c:v>#N/A</c:v>
                </c:pt>
                <c:pt idx="215">
                  <c:v>#N/A</c:v>
                </c:pt>
                <c:pt idx="216">
                  <c:v>#N/A</c:v>
                </c:pt>
                <c:pt idx="217">
                  <c:v>#N/A</c:v>
                </c:pt>
                <c:pt idx="218">
                  <c:v>#N/A</c:v>
                </c:pt>
                <c:pt idx="219">
                  <c:v>#N/A</c:v>
                </c:pt>
                <c:pt idx="220">
                  <c:v>121.68913488188734</c:v>
                </c:pt>
                <c:pt idx="221">
                  <c:v>#N/A</c:v>
                </c:pt>
                <c:pt idx="222">
                  <c:v>#N/A</c:v>
                </c:pt>
                <c:pt idx="223">
                  <c:v>#N/A</c:v>
                </c:pt>
                <c:pt idx="224">
                  <c:v>#N/A</c:v>
                </c:pt>
                <c:pt idx="225">
                  <c:v>#N/A</c:v>
                </c:pt>
                <c:pt idx="226">
                  <c:v>#N/A</c:v>
                </c:pt>
                <c:pt idx="227">
                  <c:v>#N/A</c:v>
                </c:pt>
                <c:pt idx="228">
                  <c:v>#N/A</c:v>
                </c:pt>
                <c:pt idx="229">
                  <c:v>#N/A</c:v>
                </c:pt>
                <c:pt idx="230">
                  <c:v>154.45774337745706</c:v>
                </c:pt>
                <c:pt idx="231">
                  <c:v>#N/A</c:v>
                </c:pt>
                <c:pt idx="232">
                  <c:v>#N/A</c:v>
                </c:pt>
                <c:pt idx="233">
                  <c:v>#N/A</c:v>
                </c:pt>
                <c:pt idx="234">
                  <c:v>#N/A</c:v>
                </c:pt>
                <c:pt idx="235">
                  <c:v>#N/A</c:v>
                </c:pt>
                <c:pt idx="236">
                  <c:v>#N/A</c:v>
                </c:pt>
                <c:pt idx="237">
                  <c:v>#N/A</c:v>
                </c:pt>
                <c:pt idx="238">
                  <c:v>#N/A</c:v>
                </c:pt>
                <c:pt idx="239">
                  <c:v>#N/A</c:v>
                </c:pt>
                <c:pt idx="240">
                  <c:v>185.36019918245233</c:v>
                </c:pt>
                <c:pt idx="241">
                  <c:v>#N/A</c:v>
                </c:pt>
                <c:pt idx="242">
                  <c:v>#N/A</c:v>
                </c:pt>
                <c:pt idx="243">
                  <c:v>#N/A</c:v>
                </c:pt>
                <c:pt idx="244">
                  <c:v>#N/A</c:v>
                </c:pt>
                <c:pt idx="245">
                  <c:v>#N/A</c:v>
                </c:pt>
                <c:pt idx="246">
                  <c:v>#N/A</c:v>
                </c:pt>
                <c:pt idx="247">
                  <c:v>#N/A</c:v>
                </c:pt>
                <c:pt idx="248">
                  <c:v>#N/A</c:v>
                </c:pt>
                <c:pt idx="249">
                  <c:v>#N/A</c:v>
                </c:pt>
                <c:pt idx="250">
                  <c:v>214.73352370531754</c:v>
                </c:pt>
                <c:pt idx="251">
                  <c:v>#N/A</c:v>
                </c:pt>
                <c:pt idx="252">
                  <c:v>#N/A</c:v>
                </c:pt>
                <c:pt idx="253">
                  <c:v>#N/A</c:v>
                </c:pt>
                <c:pt idx="254">
                  <c:v>#N/A</c:v>
                </c:pt>
                <c:pt idx="255">
                  <c:v>#N/A</c:v>
                </c:pt>
                <c:pt idx="256">
                  <c:v>#N/A</c:v>
                </c:pt>
                <c:pt idx="257">
                  <c:v>#N/A</c:v>
                </c:pt>
                <c:pt idx="258">
                  <c:v>#N/A</c:v>
                </c:pt>
                <c:pt idx="259">
                  <c:v>#N/A</c:v>
                </c:pt>
                <c:pt idx="260">
                  <c:v>242.84622335555144</c:v>
                </c:pt>
                <c:pt idx="261">
                  <c:v>#N/A</c:v>
                </c:pt>
                <c:pt idx="262">
                  <c:v>#N/A</c:v>
                </c:pt>
                <c:pt idx="263">
                  <c:v>#N/A</c:v>
                </c:pt>
                <c:pt idx="264">
                  <c:v>#N/A</c:v>
                </c:pt>
                <c:pt idx="265">
                  <c:v>#N/A</c:v>
                </c:pt>
                <c:pt idx="266">
                  <c:v>#N/A</c:v>
                </c:pt>
                <c:pt idx="267">
                  <c:v>#N/A</c:v>
                </c:pt>
                <c:pt idx="268">
                  <c:v>#N/A</c:v>
                </c:pt>
                <c:pt idx="269">
                  <c:v>#N/A</c:v>
                </c:pt>
                <c:pt idx="270">
                  <c:v>269.91702472081158</c:v>
                </c:pt>
                <c:pt idx="271">
                  <c:v>#N/A</c:v>
                </c:pt>
                <c:pt idx="272">
                  <c:v>#N/A</c:v>
                </c:pt>
                <c:pt idx="273">
                  <c:v>#N/A</c:v>
                </c:pt>
                <c:pt idx="274">
                  <c:v>#N/A</c:v>
                </c:pt>
                <c:pt idx="275">
                  <c:v>#N/A</c:v>
                </c:pt>
                <c:pt idx="276">
                  <c:v>#N/A</c:v>
                </c:pt>
                <c:pt idx="277">
                  <c:v>#N/A</c:v>
                </c:pt>
                <c:pt idx="278">
                  <c:v>#N/A</c:v>
                </c:pt>
                <c:pt idx="279">
                  <c:v>#N/A</c:v>
                </c:pt>
                <c:pt idx="280">
                  <c:v>296.12759253525223</c:v>
                </c:pt>
                <c:pt idx="281">
                  <c:v>#N/A</c:v>
                </c:pt>
                <c:pt idx="282">
                  <c:v>#N/A</c:v>
                </c:pt>
                <c:pt idx="283">
                  <c:v>#N/A</c:v>
                </c:pt>
                <c:pt idx="284">
                  <c:v>#N/A</c:v>
                </c:pt>
                <c:pt idx="285">
                  <c:v>#N/A</c:v>
                </c:pt>
                <c:pt idx="286">
                  <c:v>#N/A</c:v>
                </c:pt>
                <c:pt idx="287">
                  <c:v>#N/A</c:v>
                </c:pt>
                <c:pt idx="288">
                  <c:v>#N/A</c:v>
                </c:pt>
                <c:pt idx="289">
                  <c:v>#N/A</c:v>
                </c:pt>
                <c:pt idx="290">
                  <c:v>321.63129360626812</c:v>
                </c:pt>
                <c:pt idx="291">
                  <c:v>#N/A</c:v>
                </c:pt>
                <c:pt idx="292">
                  <c:v>#N/A</c:v>
                </c:pt>
                <c:pt idx="293">
                  <c:v>#N/A</c:v>
                </c:pt>
                <c:pt idx="294">
                  <c:v>#N/A</c:v>
                </c:pt>
                <c:pt idx="295">
                  <c:v>#N/A</c:v>
                </c:pt>
                <c:pt idx="296">
                  <c:v>#N/A</c:v>
                </c:pt>
                <c:pt idx="297">
                  <c:v>#N/A</c:v>
                </c:pt>
                <c:pt idx="298">
                  <c:v>#N/A</c:v>
                </c:pt>
                <c:pt idx="299">
                  <c:v>#N/A</c:v>
                </c:pt>
                <c:pt idx="300">
                  <c:v>346.55914887068394</c:v>
                </c:pt>
                <c:pt idx="301">
                  <c:v>#N/A</c:v>
                </c:pt>
                <c:pt idx="302">
                  <c:v>#N/A</c:v>
                </c:pt>
                <c:pt idx="303">
                  <c:v>#N/A</c:v>
                </c:pt>
                <c:pt idx="304">
                  <c:v>#N/A</c:v>
                </c:pt>
                <c:pt idx="305">
                  <c:v>#N/A</c:v>
                </c:pt>
                <c:pt idx="306">
                  <c:v>#N/A</c:v>
                </c:pt>
                <c:pt idx="307">
                  <c:v>#N/A</c:v>
                </c:pt>
                <c:pt idx="308">
                  <c:v>#N/A</c:v>
                </c:pt>
                <c:pt idx="309">
                  <c:v>#N/A</c:v>
                </c:pt>
                <c:pt idx="310">
                  <c:v>371.0234707279937</c:v>
                </c:pt>
                <c:pt idx="311">
                  <c:v>#N/A</c:v>
                </c:pt>
                <c:pt idx="312">
                  <c:v>#N/A</c:v>
                </c:pt>
                <c:pt idx="313">
                  <c:v>#N/A</c:v>
                </c:pt>
                <c:pt idx="314">
                  <c:v>#N/A</c:v>
                </c:pt>
                <c:pt idx="315">
                  <c:v>#N/A</c:v>
                </c:pt>
                <c:pt idx="316">
                  <c:v>#N/A</c:v>
                </c:pt>
                <c:pt idx="317">
                  <c:v>#N/A</c:v>
                </c:pt>
                <c:pt idx="318">
                  <c:v>#N/A</c:v>
                </c:pt>
                <c:pt idx="319">
                  <c:v>#N/A</c:v>
                </c:pt>
                <c:pt idx="320">
                  <c:v>395.11904440208849</c:v>
                </c:pt>
                <c:pt idx="321">
                  <c:v>#N/A</c:v>
                </c:pt>
                <c:pt idx="322">
                  <c:v>#N/A</c:v>
                </c:pt>
                <c:pt idx="323">
                  <c:v>#N/A</c:v>
                </c:pt>
                <c:pt idx="324">
                  <c:v>#N/A</c:v>
                </c:pt>
                <c:pt idx="325">
                  <c:v>#N/A</c:v>
                </c:pt>
                <c:pt idx="326">
                  <c:v>#N/A</c:v>
                </c:pt>
                <c:pt idx="327">
                  <c:v>#N/A</c:v>
                </c:pt>
                <c:pt idx="328">
                  <c:v>#N/A</c:v>
                </c:pt>
                <c:pt idx="329">
                  <c:v>#N/A</c:v>
                </c:pt>
                <c:pt idx="330">
                  <c:v>418.92090306515638</c:v>
                </c:pt>
                <c:pt idx="331">
                  <c:v>#N/A</c:v>
                </c:pt>
                <c:pt idx="332">
                  <c:v>#N/A</c:v>
                </c:pt>
                <c:pt idx="333">
                  <c:v>#N/A</c:v>
                </c:pt>
                <c:pt idx="334">
                  <c:v>#N/A</c:v>
                </c:pt>
                <c:pt idx="335">
                  <c:v>#N/A</c:v>
                </c:pt>
                <c:pt idx="336">
                  <c:v>#N/A</c:v>
                </c:pt>
                <c:pt idx="337">
                  <c:v>#N/A</c:v>
                </c:pt>
                <c:pt idx="338">
                  <c:v>#N/A</c:v>
                </c:pt>
                <c:pt idx="339">
                  <c:v>#N/A</c:v>
                </c:pt>
                <c:pt idx="340">
                  <c:v>442.47747222968121</c:v>
                </c:pt>
                <c:pt idx="341">
                  <c:v>#N/A</c:v>
                </c:pt>
                <c:pt idx="342">
                  <c:v>#N/A</c:v>
                </c:pt>
                <c:pt idx="343">
                  <c:v>#N/A</c:v>
                </c:pt>
                <c:pt idx="344">
                  <c:v>#N/A</c:v>
                </c:pt>
                <c:pt idx="345">
                  <c:v>#N/A</c:v>
                </c:pt>
                <c:pt idx="346">
                  <c:v>#N/A</c:v>
                </c:pt>
                <c:pt idx="347">
                  <c:v>#N/A</c:v>
                </c:pt>
                <c:pt idx="348">
                  <c:v>#N/A</c:v>
                </c:pt>
                <c:pt idx="349">
                  <c:v>#N/A</c:v>
                </c:pt>
                <c:pt idx="350">
                  <c:v>465.80173581139672</c:v>
                </c:pt>
                <c:pt idx="351">
                  <c:v>#N/A</c:v>
                </c:pt>
                <c:pt idx="352">
                  <c:v>#N/A</c:v>
                </c:pt>
                <c:pt idx="353">
                  <c:v>#N/A</c:v>
                </c:pt>
                <c:pt idx="354">
                  <c:v>#N/A</c:v>
                </c:pt>
                <c:pt idx="355">
                  <c:v>#N/A</c:v>
                </c:pt>
                <c:pt idx="356">
                  <c:v>#N/A</c:v>
                </c:pt>
                <c:pt idx="357">
                  <c:v>#N/A</c:v>
                </c:pt>
                <c:pt idx="358">
                  <c:v>#N/A</c:v>
                </c:pt>
                <c:pt idx="359">
                  <c:v>#N/A</c:v>
                </c:pt>
                <c:pt idx="360">
                  <c:v>488.87045158933643</c:v>
                </c:pt>
                <c:pt idx="361">
                  <c:v>#N/A</c:v>
                </c:pt>
                <c:pt idx="362">
                  <c:v>#N/A</c:v>
                </c:pt>
                <c:pt idx="363">
                  <c:v>#N/A</c:v>
                </c:pt>
                <c:pt idx="364">
                  <c:v>#N/A</c:v>
                </c:pt>
                <c:pt idx="365">
                  <c:v>#N/A</c:v>
                </c:pt>
                <c:pt idx="366">
                  <c:v>#N/A</c:v>
                </c:pt>
                <c:pt idx="367">
                  <c:v>#N/A</c:v>
                </c:pt>
                <c:pt idx="368">
                  <c:v>#N/A</c:v>
                </c:pt>
                <c:pt idx="369">
                  <c:v>#N/A</c:v>
                </c:pt>
                <c:pt idx="370">
                  <c:v>511.63504830203561</c:v>
                </c:pt>
                <c:pt idx="371">
                  <c:v>#N/A</c:v>
                </c:pt>
                <c:pt idx="372">
                  <c:v>#N/A</c:v>
                </c:pt>
                <c:pt idx="373">
                  <c:v>#N/A</c:v>
                </c:pt>
                <c:pt idx="374">
                  <c:v>#N/A</c:v>
                </c:pt>
                <c:pt idx="375">
                  <c:v>#N/A</c:v>
                </c:pt>
                <c:pt idx="376">
                  <c:v>#N/A</c:v>
                </c:pt>
                <c:pt idx="377">
                  <c:v>#N/A</c:v>
                </c:pt>
                <c:pt idx="378">
                  <c:v>#N/A</c:v>
                </c:pt>
                <c:pt idx="379">
                  <c:v>#N/A</c:v>
                </c:pt>
                <c:pt idx="380">
                  <c:v>534.03451321187561</c:v>
                </c:pt>
                <c:pt idx="381">
                  <c:v>#N/A</c:v>
                </c:pt>
                <c:pt idx="382">
                  <c:v>#N/A</c:v>
                </c:pt>
                <c:pt idx="383">
                  <c:v>#N/A</c:v>
                </c:pt>
                <c:pt idx="384">
                  <c:v>#N/A</c:v>
                </c:pt>
                <c:pt idx="385">
                  <c:v>#N/A</c:v>
                </c:pt>
                <c:pt idx="386">
                  <c:v>#N/A</c:v>
                </c:pt>
                <c:pt idx="387">
                  <c:v>#N/A</c:v>
                </c:pt>
                <c:pt idx="388">
                  <c:v>#N/A</c:v>
                </c:pt>
                <c:pt idx="389">
                  <c:v>#N/A</c:v>
                </c:pt>
                <c:pt idx="390">
                  <c:v>556.00402833029909</c:v>
                </c:pt>
                <c:pt idx="391">
                  <c:v>#N/A</c:v>
                </c:pt>
                <c:pt idx="392">
                  <c:v>#N/A</c:v>
                </c:pt>
                <c:pt idx="393">
                  <c:v>#N/A</c:v>
                </c:pt>
                <c:pt idx="394">
                  <c:v>#N/A</c:v>
                </c:pt>
                <c:pt idx="395">
                  <c:v>#N/A</c:v>
                </c:pt>
                <c:pt idx="396">
                  <c:v>#N/A</c:v>
                </c:pt>
                <c:pt idx="397">
                  <c:v>#N/A</c:v>
                </c:pt>
                <c:pt idx="398">
                  <c:v>#N/A</c:v>
                </c:pt>
                <c:pt idx="399">
                  <c:v>#N/A</c:v>
                </c:pt>
                <c:pt idx="400">
                  <c:v>577.47992153231678</c:v>
                </c:pt>
                <c:pt idx="401">
                  <c:v>#N/A</c:v>
                </c:pt>
                <c:pt idx="402">
                  <c:v>#N/A</c:v>
                </c:pt>
                <c:pt idx="403">
                  <c:v>#N/A</c:v>
                </c:pt>
                <c:pt idx="404">
                  <c:v>#N/A</c:v>
                </c:pt>
                <c:pt idx="405">
                  <c:v>#N/A</c:v>
                </c:pt>
                <c:pt idx="406">
                  <c:v>#N/A</c:v>
                </c:pt>
                <c:pt idx="407">
                  <c:v>#N/A</c:v>
                </c:pt>
                <c:pt idx="408">
                  <c:v>#N/A</c:v>
                </c:pt>
                <c:pt idx="409">
                  <c:v>#N/A</c:v>
                </c:pt>
                <c:pt idx="410">
                  <c:v>598.40255576059837</c:v>
                </c:pt>
                <c:pt idx="411">
                  <c:v>#N/A</c:v>
                </c:pt>
                <c:pt idx="412">
                  <c:v>#N/A</c:v>
                </c:pt>
                <c:pt idx="413">
                  <c:v>#N/A</c:v>
                </c:pt>
                <c:pt idx="414">
                  <c:v>#N/A</c:v>
                </c:pt>
                <c:pt idx="415">
                  <c:v>#N/A</c:v>
                </c:pt>
                <c:pt idx="416">
                  <c:v>#N/A</c:v>
                </c:pt>
                <c:pt idx="417">
                  <c:v>#N/A</c:v>
                </c:pt>
                <c:pt idx="418">
                  <c:v>#N/A</c:v>
                </c:pt>
                <c:pt idx="419">
                  <c:v>#N/A</c:v>
                </c:pt>
                <c:pt idx="420">
                  <c:v>618.71809276753504</c:v>
                </c:pt>
                <c:pt idx="421">
                  <c:v>#N/A</c:v>
                </c:pt>
                <c:pt idx="422">
                  <c:v>#N/A</c:v>
                </c:pt>
                <c:pt idx="423">
                  <c:v>#N/A</c:v>
                </c:pt>
                <c:pt idx="424">
                  <c:v>#N/A</c:v>
                </c:pt>
                <c:pt idx="425">
                  <c:v>#N/A</c:v>
                </c:pt>
                <c:pt idx="426">
                  <c:v>#N/A</c:v>
                </c:pt>
                <c:pt idx="427">
                  <c:v>#N/A</c:v>
                </c:pt>
                <c:pt idx="428">
                  <c:v>#N/A</c:v>
                </c:pt>
                <c:pt idx="429">
                  <c:v>#N/A</c:v>
                </c:pt>
                <c:pt idx="430">
                  <c:v>638.37957480479668</c:v>
                </c:pt>
                <c:pt idx="431">
                  <c:v>#N/A</c:v>
                </c:pt>
                <c:pt idx="432">
                  <c:v>#N/A</c:v>
                </c:pt>
                <c:pt idx="433">
                  <c:v>#N/A</c:v>
                </c:pt>
                <c:pt idx="434">
                  <c:v>#N/A</c:v>
                </c:pt>
                <c:pt idx="435">
                  <c:v>#N/A</c:v>
                </c:pt>
                <c:pt idx="436">
                  <c:v>#N/A</c:v>
                </c:pt>
                <c:pt idx="437">
                  <c:v>#N/A</c:v>
                </c:pt>
                <c:pt idx="438">
                  <c:v>#N/A</c:v>
                </c:pt>
                <c:pt idx="439">
                  <c:v>#N/A</c:v>
                </c:pt>
                <c:pt idx="440">
                  <c:v>657.34753942481018</c:v>
                </c:pt>
                <c:pt idx="441">
                  <c:v>#N/A</c:v>
                </c:pt>
                <c:pt idx="442">
                  <c:v>#N/A</c:v>
                </c:pt>
                <c:pt idx="443">
                  <c:v>#N/A</c:v>
                </c:pt>
                <c:pt idx="444">
                  <c:v>#N/A</c:v>
                </c:pt>
                <c:pt idx="445">
                  <c:v>#N/A</c:v>
                </c:pt>
                <c:pt idx="446">
                  <c:v>#N/A</c:v>
                </c:pt>
                <c:pt idx="447">
                  <c:v>#N/A</c:v>
                </c:pt>
                <c:pt idx="448">
                  <c:v>#N/A</c:v>
                </c:pt>
                <c:pt idx="449">
                  <c:v>#N/A</c:v>
                </c:pt>
                <c:pt idx="450">
                  <c:v>675.59028474131162</c:v>
                </c:pt>
                <c:pt idx="451">
                  <c:v>#N/A</c:v>
                </c:pt>
                <c:pt idx="452">
                  <c:v>#N/A</c:v>
                </c:pt>
                <c:pt idx="453">
                  <c:v>#N/A</c:v>
                </c:pt>
                <c:pt idx="454">
                  <c:v>#N/A</c:v>
                </c:pt>
                <c:pt idx="455">
                  <c:v>#N/A</c:v>
                </c:pt>
                <c:pt idx="456">
                  <c:v>#N/A</c:v>
                </c:pt>
                <c:pt idx="457">
                  <c:v>#N/A</c:v>
                </c:pt>
                <c:pt idx="458">
                  <c:v>#N/A</c:v>
                </c:pt>
                <c:pt idx="459">
                  <c:v>#N/A</c:v>
                </c:pt>
                <c:pt idx="460">
                  <c:v>693.08386062255897</c:v>
                </c:pt>
                <c:pt idx="461">
                  <c:v>#N/A</c:v>
                </c:pt>
                <c:pt idx="462">
                  <c:v>#N/A</c:v>
                </c:pt>
                <c:pt idx="463">
                  <c:v>#N/A</c:v>
                </c:pt>
                <c:pt idx="464">
                  <c:v>#N/A</c:v>
                </c:pt>
                <c:pt idx="465">
                  <c:v>#N/A</c:v>
                </c:pt>
                <c:pt idx="466">
                  <c:v>#N/A</c:v>
                </c:pt>
                <c:pt idx="467">
                  <c:v>#N/A</c:v>
                </c:pt>
                <c:pt idx="468">
                  <c:v>#N/A</c:v>
                </c:pt>
                <c:pt idx="469">
                  <c:v>#N/A</c:v>
                </c:pt>
                <c:pt idx="470">
                  <c:v>709.81184283186224</c:v>
                </c:pt>
                <c:pt idx="471">
                  <c:v>#N/A</c:v>
                </c:pt>
                <c:pt idx="472">
                  <c:v>#N/A</c:v>
                </c:pt>
                <c:pt idx="473">
                  <c:v>#N/A</c:v>
                </c:pt>
                <c:pt idx="474">
                  <c:v>#N/A</c:v>
                </c:pt>
                <c:pt idx="475">
                  <c:v>#N/A</c:v>
                </c:pt>
                <c:pt idx="476">
                  <c:v>#N/A</c:v>
                </c:pt>
                <c:pt idx="477">
                  <c:v>#N/A</c:v>
                </c:pt>
                <c:pt idx="478">
                  <c:v>#N/A</c:v>
                </c:pt>
                <c:pt idx="479">
                  <c:v>#N/A</c:v>
                </c:pt>
                <c:pt idx="480">
                  <c:v>725.76493821051167</c:v>
                </c:pt>
                <c:pt idx="481">
                  <c:v>#N/A</c:v>
                </c:pt>
                <c:pt idx="482">
                  <c:v>#N/A</c:v>
                </c:pt>
                <c:pt idx="483">
                  <c:v>#N/A</c:v>
                </c:pt>
                <c:pt idx="484">
                  <c:v>#N/A</c:v>
                </c:pt>
                <c:pt idx="485">
                  <c:v>#N/A</c:v>
                </c:pt>
                <c:pt idx="486">
                  <c:v>#N/A</c:v>
                </c:pt>
                <c:pt idx="487">
                  <c:v>#N/A</c:v>
                </c:pt>
                <c:pt idx="488">
                  <c:v>#N/A</c:v>
                </c:pt>
                <c:pt idx="489">
                  <c:v>#N/A</c:v>
                </c:pt>
                <c:pt idx="490">
                  <c:v>740.94046362937922</c:v>
                </c:pt>
                <c:pt idx="491">
                  <c:v>#N/A</c:v>
                </c:pt>
                <c:pt idx="492">
                  <c:v>#N/A</c:v>
                </c:pt>
                <c:pt idx="493">
                  <c:v>#N/A</c:v>
                </c:pt>
                <c:pt idx="494">
                  <c:v>#N/A</c:v>
                </c:pt>
                <c:pt idx="495">
                  <c:v>#N/A</c:v>
                </c:pt>
                <c:pt idx="496">
                  <c:v>#N/A</c:v>
                </c:pt>
                <c:pt idx="497">
                  <c:v>#N/A</c:v>
                </c:pt>
                <c:pt idx="498">
                  <c:v>#N/A</c:v>
                </c:pt>
                <c:pt idx="499">
                  <c:v>#N/A</c:v>
                </c:pt>
                <c:pt idx="500">
                  <c:v>755.34173706353977</c:v>
                </c:pt>
                <c:pt idx="501">
                  <c:v>#N/A</c:v>
                </c:pt>
                <c:pt idx="502">
                  <c:v>#N/A</c:v>
                </c:pt>
                <c:pt idx="503">
                  <c:v>#N/A</c:v>
                </c:pt>
                <c:pt idx="504">
                  <c:v>#N/A</c:v>
                </c:pt>
                <c:pt idx="505">
                  <c:v>#N/A</c:v>
                </c:pt>
                <c:pt idx="506">
                  <c:v>#N/A</c:v>
                </c:pt>
                <c:pt idx="507">
                  <c:v>#N/A</c:v>
                </c:pt>
                <c:pt idx="508">
                  <c:v>#N/A</c:v>
                </c:pt>
                <c:pt idx="509">
                  <c:v>#N/A</c:v>
                </c:pt>
                <c:pt idx="510">
                  <c:v>768.97741477645013</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8.6628900036048477E-4</c:v>
                </c:pt>
                <c:pt idx="2">
                  <c:v>7.2012236735458125E-3</c:v>
                </c:pt>
                <c:pt idx="3">
                  <c:v>2.5017616524039755E-2</c:v>
                </c:pt>
                <c:pt idx="4">
                  <c:v>5.6354312087586476E-2</c:v>
                </c:pt>
                <c:pt idx="5">
                  <c:v>0.10073493119666843</c:v>
                </c:pt>
                <c:pt idx="6">
                  <c:v>0.15782750892855033</c:v>
                </c:pt>
                <c:pt idx="7">
                  <c:v>0.2275904628140466</c:v>
                </c:pt>
                <c:pt idx="8">
                  <c:v>0.3101276317868239</c:v>
                </c:pt>
                <c:pt idx="9">
                  <c:v>0.40554291741945758</c:v>
                </c:pt>
                <c:pt idx="10">
                  <c:v>0.51394028211170439</c:v>
                </c:pt>
                <c:pt idx="11">
                  <c:v>0.63540864029548572</c:v>
                </c:pt>
                <c:pt idx="12">
                  <c:v>0.77000670842922758</c:v>
                </c:pt>
                <c:pt idx="13">
                  <c:v>0.91777804925889894</c:v>
                </c:pt>
                <c:pt idx="14">
                  <c:v>1.0787661575146401</c:v>
                </c:pt>
                <c:pt idx="15">
                  <c:v>1.2530144585302383</c:v>
                </c:pt>
                <c:pt idx="16">
                  <c:v>1.4405663068577128</c:v>
                </c:pt>
                <c:pt idx="17">
                  <c:v>1.6414649848770997</c:v>
                </c:pt>
                <c:pt idx="18">
                  <c:v>1.8557537014015273</c:v>
                </c:pt>
                <c:pt idx="19">
                  <c:v>2.0834755902776774</c:v>
                </c:pt>
                <c:pt idx="20">
                  <c:v>2.324673708981726</c:v>
                </c:pt>
                <c:pt idx="21">
                  <c:v>2.5793849731424268</c:v>
                </c:pt>
                <c:pt idx="22">
                  <c:v>2.8476340748106428</c:v>
                </c:pt>
                <c:pt idx="23">
                  <c:v>3.1294395216112507</c:v>
                </c:pt>
                <c:pt idx="24">
                  <c:v>3.4248196924281418</c:v>
                </c:pt>
                <c:pt idx="25">
                  <c:v>3.7337928365589774</c:v>
                </c:pt>
                <c:pt idx="26">
                  <c:v>4.0563770728739126</c:v>
                </c:pt>
                <c:pt idx="27">
                  <c:v>4.3925755877908621</c:v>
                </c:pt>
                <c:pt idx="28">
                  <c:v>4.7423908160914694</c:v>
                </c:pt>
                <c:pt idx="29">
                  <c:v>5.1058392494780653</c:v>
                </c:pt>
                <c:pt idx="30">
                  <c:v>5.4829372720818874</c:v>
                </c:pt>
                <c:pt idx="31">
                  <c:v>5.873701168246237</c:v>
                </c:pt>
                <c:pt idx="32">
                  <c:v>6.2781471194657898</c:v>
                </c:pt>
                <c:pt idx="33">
                  <c:v>6.6962912015466713</c:v>
                </c:pt>
                <c:pt idx="34">
                  <c:v>7.1281493819604114</c:v>
                </c:pt>
                <c:pt idx="35">
                  <c:v>7.5737375173689676</c:v>
                </c:pt>
                <c:pt idx="36">
                  <c:v>8.0330713513014143</c:v>
                </c:pt>
                <c:pt idx="37">
                  <c:v>8.5061665119656507</c:v>
                </c:pt>
                <c:pt idx="38">
                  <c:v>8.9930385101808419</c:v>
                </c:pt>
                <c:pt idx="39">
                  <c:v>9.4937027374182215</c:v>
                </c:pt>
                <c:pt idx="40">
                  <c:v>10.00817446393954</c:v>
                </c:pt>
                <c:pt idx="41">
                  <c:v>10.536464117495703</c:v>
                </c:pt>
                <c:pt idx="42">
                  <c:v>11.07857255109665</c:v>
                </c:pt>
                <c:pt idx="43">
                  <c:v>11.634495745555906</c:v>
                </c:pt>
                <c:pt idx="44">
                  <c:v>12.204229523373577</c:v>
                </c:pt>
                <c:pt idx="45">
                  <c:v>12.787769547775413</c:v>
                </c:pt>
                <c:pt idx="46">
                  <c:v>13.385111321818952</c:v>
                </c:pt>
                <c:pt idx="47">
                  <c:v>13.996250187561616</c:v>
                </c:pt>
                <c:pt idx="48">
                  <c:v>14.621181325286233</c:v>
                </c:pt>
                <c:pt idx="49">
                  <c:v>15.259899752779951</c:v>
                </c:pt>
                <c:pt idx="50">
                  <c:v>15.91240032466289</c:v>
                </c:pt>
                <c:pt idx="51">
                  <c:v>16.578677731763335</c:v>
                </c:pt>
                <c:pt idx="52">
                  <c:v>17.258726500536522</c:v>
                </c:pt>
                <c:pt idx="53">
                  <c:v>17.952540992524415</c:v>
                </c:pt>
                <c:pt idx="54">
                  <c:v>18.660115403854107</c:v>
                </c:pt>
                <c:pt idx="55">
                  <c:v>19.381443764772694</c:v>
                </c:pt>
                <c:pt idx="56">
                  <c:v>20.116519939216683</c:v>
                </c:pt>
                <c:pt idx="57">
                  <c:v>20.865337624414206</c:v>
                </c:pt>
                <c:pt idx="58">
                  <c:v>21.627890350518371</c:v>
                </c:pt>
                <c:pt idx="59">
                  <c:v>22.404171480270371</c:v>
                </c:pt>
                <c:pt idx="60">
                  <c:v>23.194174208690953</c:v>
                </c:pt>
                <c:pt idx="61">
                  <c:v>23.997891562799051</c:v>
                </c:pt>
                <c:pt idx="62">
                  <c:v>24.815316401356483</c:v>
                </c:pt>
                <c:pt idx="63">
                  <c:v>25.646441414637643</c:v>
                </c:pt>
                <c:pt idx="64">
                  <c:v>26.491259124223284</c:v>
                </c:pt>
                <c:pt idx="65">
                  <c:v>27.349761882817514</c:v>
                </c:pt>
                <c:pt idx="66">
                  <c:v>28.221941874087179</c:v>
                </c:pt>
                <c:pt idx="67">
                  <c:v>29.107791112522925</c:v>
                </c:pt>
                <c:pt idx="68">
                  <c:v>30.007301443321229</c:v>
                </c:pt>
                <c:pt idx="69">
                  <c:v>30.920464542286776</c:v>
                </c:pt>
                <c:pt idx="70">
                  <c:v>31.847271915754604</c:v>
                </c:pt>
                <c:pt idx="71">
                  <c:v>32.787714900531427</c:v>
                </c:pt>
                <c:pt idx="72">
                  <c:v>33.741784663855668</c:v>
                </c:pt>
                <c:pt idx="73">
                  <c:v>34.709472203375725</c:v>
                </c:pt>
                <c:pt idx="74">
                  <c:v>35.690768347145983</c:v>
                </c:pt>
                <c:pt idx="75">
                  <c:v>36.685663753640199</c:v>
                </c:pt>
                <c:pt idx="76">
                  <c:v>37.694148911781852</c:v>
                </c:pt>
                <c:pt idx="77">
                  <c:v>38.716214140991106</c:v>
                </c:pt>
                <c:pt idx="78">
                  <c:v>39.751849591248018</c:v>
                </c:pt>
                <c:pt idx="79">
                  <c:v>40.8010452431717</c:v>
                </c:pt>
                <c:pt idx="80">
                  <c:v>41.863790908115085</c:v>
                </c:pt>
                <c:pt idx="81">
                  <c:v>42.940071429945675</c:v>
                </c:pt>
                <c:pt idx="82">
                  <c:v>44.029861877728656</c:v>
                </c:pt>
                <c:pt idx="83">
                  <c:v>45.133132333118112</c:v>
                </c:pt>
                <c:pt idx="84">
                  <c:v>46.24985268725333</c:v>
                </c:pt>
                <c:pt idx="85">
                  <c:v>47.379992641684524</c:v>
                </c:pt>
                <c:pt idx="86">
                  <c:v>48.523521709314743</c:v>
                </c:pt>
                <c:pt idx="87">
                  <c:v>49.680409215357621</c:v>
                </c:pt>
                <c:pt idx="88">
                  <c:v>50.850624298310578</c:v>
                </c:pt>
                <c:pt idx="89">
                  <c:v>52.034135910943156</c:v>
                </c:pt>
                <c:pt idx="90">
                  <c:v>53.230912821300144</c:v>
                </c:pt>
                <c:pt idx="91">
                  <c:v>54.440921492624689</c:v>
                </c:pt>
                <c:pt idx="92">
                  <c:v>55.66412395961769</c:v>
                </c:pt>
                <c:pt idx="93">
                  <c:v>56.900479946366985</c:v>
                </c:pt>
                <c:pt idx="94">
                  <c:v>58.14994898815317</c:v>
                </c:pt>
                <c:pt idx="95">
                  <c:v>59.41249043289254</c:v>
                </c:pt>
                <c:pt idx="96">
                  <c:v>60.688063442592998</c:v>
                </c:pt>
                <c:pt idx="97">
                  <c:v>61.976626994822567</c:v>
                </c:pt>
                <c:pt idx="98">
                  <c:v>63.27813988419021</c:v>
                </c:pt>
                <c:pt idx="99">
                  <c:v>64.592560723838545</c:v>
                </c:pt>
                <c:pt idx="100">
                  <c:v>65.919847946948224</c:v>
                </c:pt>
                <c:pt idx="101">
                  <c:v>67.259959468813378</c:v>
                </c:pt>
                <c:pt idx="102">
                  <c:v>68.612852348400565</c:v>
                </c:pt>
                <c:pt idx="103">
                  <c:v>69.978483128767778</c:v>
                </c:pt>
                <c:pt idx="104">
                  <c:v>71.35680817805185</c:v>
                </c:pt>
                <c:pt idx="105">
                  <c:v>72.747783691087108</c:v>
                </c:pt>
                <c:pt idx="106">
                  <c:v>74.151365691033703</c:v>
                </c:pt>
                <c:pt idx="107">
                  <c:v>75.567510031015274</c:v>
                </c:pt>
                <c:pt idx="108">
                  <c:v>76.996172395765669</c:v>
                </c:pt>
                <c:pt idx="109">
                  <c:v>78.437308303284482</c:v>
                </c:pt>
                <c:pt idx="110">
                  <c:v>79.890873106500976</c:v>
                </c:pt>
                <c:pt idx="111">
                  <c:v>81.356825905123841</c:v>
                </c:pt>
                <c:pt idx="112">
                  <c:v>82.835133462881416</c:v>
                </c:pt>
                <c:pt idx="113">
                  <c:v>84.325766304174451</c:v>
                </c:pt>
                <c:pt idx="114">
                  <c:v>85.828694805022124</c:v>
                </c:pt>
                <c:pt idx="115">
                  <c:v>87.343889194101806</c:v>
                </c:pt>
                <c:pt idx="116">
                  <c:v>88.871319553796894</c:v>
                </c:pt>
                <c:pt idx="117">
                  <c:v>90.410955821252557</c:v>
                </c:pt>
                <c:pt idx="118">
                  <c:v>91.962767789439269</c:v>
                </c:pt>
                <c:pt idx="119">
                  <c:v>93.526725108223843</c:v>
                </c:pt>
                <c:pt idx="120">
                  <c:v>95.102797285447949</c:v>
                </c:pt>
                <c:pt idx="121">
                  <c:v>96.690947199186212</c:v>
                </c:pt>
                <c:pt idx="122">
                  <c:v>98.291124602065452</c:v>
                </c:pt>
                <c:pt idx="123">
                  <c:v>99.903272604579229</c:v>
                </c:pt>
                <c:pt idx="124">
                  <c:v>101.52733416692158</c:v>
                </c:pt>
                <c:pt idx="125">
                  <c:v>103.16325210123135</c:v>
                </c:pt>
                <c:pt idx="126">
                  <c:v>104.81096907383936</c:v>
                </c:pt>
                <c:pt idx="127">
                  <c:v>106.47042760751795</c:v>
                </c:pt>
                <c:pt idx="128">
                  <c:v>108.14157008373277</c:v>
                </c:pt>
                <c:pt idx="129">
                  <c:v>109.82433874489629</c:v>
                </c:pt>
                <c:pt idx="130">
                  <c:v>111.51867569662285</c:v>
                </c:pt>
                <c:pt idx="131">
                  <c:v>113.22452121032657</c:v>
                </c:pt>
                <c:pt idx="132">
                  <c:v>114.9418120240928</c:v>
                </c:pt>
                <c:pt idx="133">
                  <c:v>116.67048304351177</c:v>
                </c:pt>
                <c:pt idx="134">
                  <c:v>118.41046904440124</c:v>
                </c:pt>
                <c:pt idx="135">
                  <c:v>120.16170467538571</c:v>
                </c:pt>
                <c:pt idx="136">
                  <c:v>121.92412446047344</c:v>
                </c:pt>
                <c:pt idx="137">
                  <c:v>123.69766280163101</c:v>
                </c:pt>
                <c:pt idx="138">
                  <c:v>125.48225398135497</c:v>
                </c:pt>
                <c:pt idx="139">
                  <c:v>127.27783216524035</c:v>
                </c:pt>
                <c:pt idx="140">
                  <c:v>129.08433140454554</c:v>
                </c:pt>
                <c:pt idx="141">
                  <c:v>130.90166530641716</c:v>
                </c:pt>
                <c:pt idx="142">
                  <c:v>132.72970668816069</c:v>
                </c:pt>
                <c:pt idx="143">
                  <c:v>134.56830790785585</c:v>
                </c:pt>
                <c:pt idx="144">
                  <c:v>136.41732121331219</c:v>
                </c:pt>
                <c:pt idx="145">
                  <c:v>138.2765987493795</c:v>
                </c:pt>
                <c:pt idx="146">
                  <c:v>140.1459925652083</c:v>
                </c:pt>
                <c:pt idx="147">
                  <c:v>142.02535462145951</c:v>
                </c:pt>
                <c:pt idx="148">
                  <c:v>143.91453679746186</c:v>
                </c:pt>
                <c:pt idx="149">
                  <c:v>145.81339089831641</c:v>
                </c:pt>
                <c:pt idx="150">
                  <c:v>147.72176866194664</c:v>
                </c:pt>
                <c:pt idx="151">
                  <c:v>149.63952176609362</c:v>
                </c:pt>
                <c:pt idx="152">
                  <c:v>151.56650183525502</c:v>
                </c:pt>
                <c:pt idx="153">
                  <c:v>153.50256044756694</c:v>
                </c:pt>
                <c:pt idx="154">
                  <c:v>155.4475491416278</c:v>
                </c:pt>
                <c:pt idx="155">
                  <c:v>157.40131942326346</c:v>
                </c:pt>
                <c:pt idx="156">
                  <c:v>159.36362642138494</c:v>
                </c:pt>
                <c:pt idx="157">
                  <c:v>161.33403253120548</c:v>
                </c:pt>
                <c:pt idx="158">
                  <c:v>163.31200386248253</c:v>
                </c:pt>
                <c:pt idx="159">
                  <c:v>165.29700672361676</c:v>
                </c:pt>
                <c:pt idx="160">
                  <c:v>167.28850767439644</c:v>
                </c:pt>
                <c:pt idx="161">
                  <c:v>169.28585106733385</c:v>
                </c:pt>
                <c:pt idx="162">
                  <c:v>171.28813666470111</c:v>
                </c:pt>
                <c:pt idx="163">
                  <c:v>173.29435415616197</c:v>
                </c:pt>
                <c:pt idx="164">
                  <c:v>175.30351764451225</c:v>
                </c:pt>
                <c:pt idx="165">
                  <c:v>177.31477112600189</c:v>
                </c:pt>
                <c:pt idx="166">
                  <c:v>179.32749380789372</c:v>
                </c:pt>
                <c:pt idx="167">
                  <c:v>181.34109384496603</c:v>
                </c:pt>
                <c:pt idx="168">
                  <c:v>183.35486670270612</c:v>
                </c:pt>
                <c:pt idx="169">
                  <c:v>185.36790062680041</c:v>
                </c:pt>
                <c:pt idx="170">
                  <c:v>187.37904673864361</c:v>
                </c:pt>
                <c:pt idx="171">
                  <c:v>189.38750130893436</c:v>
                </c:pt>
                <c:pt idx="172">
                  <c:v>191.39306496401636</c:v>
                </c:pt>
                <c:pt idx="173">
                  <c:v>193.39574354352331</c:v>
                </c:pt>
                <c:pt idx="174">
                  <c:v>195.39554286541716</c:v>
                </c:pt>
                <c:pt idx="175">
                  <c:v>197.39246872609442</c:v>
                </c:pt>
                <c:pt idx="176">
                  <c:v>199.38652690049204</c:v>
                </c:pt>
                <c:pt idx="177">
                  <c:v>201.37772314219248</c:v>
                </c:pt>
                <c:pt idx="178">
                  <c:v>203.36606318352813</c:v>
                </c:pt>
                <c:pt idx="179">
                  <c:v>205.35155273568523</c:v>
                </c:pt>
                <c:pt idx="180">
                  <c:v>207.33419748880698</c:v>
                </c:pt>
                <c:pt idx="181">
                  <c:v>209.31400311209615</c:v>
                </c:pt>
                <c:pt idx="182">
                  <c:v>211.29097525391691</c:v>
                </c:pt>
                <c:pt idx="183">
                  <c:v>213.26511954189621</c:v>
                </c:pt>
                <c:pt idx="184">
                  <c:v>215.23644158302437</c:v>
                </c:pt>
                <c:pt idx="185">
                  <c:v>217.20494696375516</c:v>
                </c:pt>
                <c:pt idx="186">
                  <c:v>219.17064125010526</c:v>
                </c:pt>
                <c:pt idx="187">
                  <c:v>221.13352998775306</c:v>
                </c:pt>
                <c:pt idx="188">
                  <c:v>223.09361870213689</c:v>
                </c:pt>
                <c:pt idx="189">
                  <c:v>225.05091289855264</c:v>
                </c:pt>
                <c:pt idx="190">
                  <c:v>227.00541806225078</c:v>
                </c:pt>
                <c:pt idx="191">
                  <c:v>228.95713965853284</c:v>
                </c:pt>
                <c:pt idx="192">
                  <c:v>230.90608313284724</c:v>
                </c:pt>
                <c:pt idx="193">
                  <c:v>232.85225391088454</c:v>
                </c:pt>
                <c:pt idx="194">
                  <c:v>234.79565739867218</c:v>
                </c:pt>
                <c:pt idx="195">
                  <c:v>236.73629898266853</c:v>
                </c:pt>
                <c:pt idx="196">
                  <c:v>238.67418402985655</c:v>
                </c:pt>
                <c:pt idx="197">
                  <c:v>240.60931788783665</c:v>
                </c:pt>
                <c:pt idx="198">
                  <c:v>242.54170588491922</c:v>
                </c:pt>
                <c:pt idx="199">
                  <c:v>244.47135333021643</c:v>
                </c:pt>
                <c:pt idx="200">
                  <c:v>246.39826551373358</c:v>
                </c:pt>
                <c:pt idx="201">
                  <c:v>265.51735623924014</c:v>
                </c:pt>
                <c:pt idx="202">
                  <c:v>284.36631129770609</c:v>
                </c:pt>
                <c:pt idx="203">
                  <c:v>302.95023953467677</c:v>
                </c:pt>
                <c:pt idx="204">
                  <c:v>321.27407037934501</c:v>
                </c:pt>
                <c:pt idx="205">
                  <c:v>339.34256207921163</c:v>
                </c:pt>
                <c:pt idx="206">
                  <c:v>357.16030946097283</c:v>
                </c:pt>
                <c:pt idx="207">
                  <c:v>374.73175125012062</c:v>
                </c:pt>
                <c:pt idx="208">
                  <c:v>392.06117697916005</c:v>
                </c:pt>
                <c:pt idx="209">
                  <c:v>409.15273351199926</c:v>
                </c:pt>
                <c:pt idx="210">
                  <c:v>426.01043120992881</c:v>
                </c:pt>
                <c:pt idx="211">
                  <c:v>442.63814976265553</c:v>
                </c:pt>
                <c:pt idx="212">
                  <c:v>459.03964370607497</c:v>
                </c:pt>
                <c:pt idx="213">
                  <c:v>475.21854764683849</c:v>
                </c:pt>
                <c:pt idx="214">
                  <c:v>491.17838121228226</c:v>
                </c:pt>
                <c:pt idx="215">
                  <c:v>506.92255374292114</c:v>
                </c:pt>
                <c:pt idx="216">
                  <c:v>522.45436874346012</c:v>
                </c:pt>
                <c:pt idx="217">
                  <c:v>537.77702810712992</c:v>
                </c:pt>
                <c:pt idx="218">
                  <c:v>552.89363612709826</c:v>
                </c:pt>
                <c:pt idx="219">
                  <c:v>567.80720330774102</c:v>
                </c:pt>
                <c:pt idx="220">
                  <c:v>582.52064998766696</c:v>
                </c:pt>
                <c:pt idx="221">
                  <c:v>597.03680978556679</c:v>
                </c:pt>
                <c:pt idx="222">
                  <c:v>611.3584328792042</c:v>
                </c:pt>
                <c:pt idx="223">
                  <c:v>625.48818912716638</c:v>
                </c:pt>
                <c:pt idx="224">
                  <c:v>639.42867104234813</c:v>
                </c:pt>
                <c:pt idx="225">
                  <c:v>653.18239662554959</c:v>
                </c:pt>
                <c:pt idx="226">
                  <c:v>666.75181206701609</c:v>
                </c:pt>
                <c:pt idx="227">
                  <c:v>680.1392943232388</c:v>
                </c:pt>
                <c:pt idx="228">
                  <c:v>693.34715357586549</c:v>
                </c:pt>
                <c:pt idx="229">
                  <c:v>706.37763557913161</c:v>
                </c:pt>
                <c:pt idx="230">
                  <c:v>719.23292390181655</c:v>
                </c:pt>
                <c:pt idx="231">
                  <c:v>731.91514206935449</c:v>
                </c:pt>
                <c:pt idx="232">
                  <c:v>744.42635561137945</c:v>
                </c:pt>
                <c:pt idx="233">
                  <c:v>756.76857401965856</c:v>
                </c:pt>
                <c:pt idx="234">
                  <c:v>768.94375262106632</c:v>
                </c:pt>
                <c:pt idx="235">
                  <c:v>780.95379436997064</c:v>
                </c:pt>
                <c:pt idx="236">
                  <c:v>792.80055156414016</c:v>
                </c:pt>
                <c:pt idx="237">
                  <c:v>804.48582748803756</c:v>
                </c:pt>
                <c:pt idx="238">
                  <c:v>816.01137798713648</c:v>
                </c:pt>
                <c:pt idx="239">
                  <c:v>827.37891297668716</c:v>
                </c:pt>
                <c:pt idx="240">
                  <c:v>838.59009788815729</c:v>
                </c:pt>
                <c:pt idx="241">
                  <c:v>849.64655505638984</c:v>
                </c:pt>
                <c:pt idx="242">
                  <c:v>860.54986505034594</c:v>
                </c:pt>
                <c:pt idx="243">
                  <c:v>871.30156795013932</c:v>
                </c:pt>
                <c:pt idx="244">
                  <c:v>881.90316457291681</c:v>
                </c:pt>
                <c:pt idx="245">
                  <c:v>892.35611764999828</c:v>
                </c:pt>
                <c:pt idx="246">
                  <c:v>902.66185295755554</c:v>
                </c:pt>
                <c:pt idx="247">
                  <c:v>912.82176040298509</c:v>
                </c:pt>
                <c:pt idx="248">
                  <c:v>922.83719506901411</c:v>
                </c:pt>
                <c:pt idx="249">
                  <c:v>932.70947821746779</c:v>
                </c:pt>
                <c:pt idx="250">
                  <c:v>942.43989825452365</c:v>
                </c:pt>
                <c:pt idx="251">
                  <c:v>952.02971165918234</c:v>
                </c:pt>
                <c:pt idx="252">
                  <c:v>961.48014387659305</c:v>
                </c:pt>
                <c:pt idx="253">
                  <c:v>970.79239017778627</c:v>
                </c:pt>
                <c:pt idx="254">
                  <c:v>979.96761648728636</c:v>
                </c:pt>
                <c:pt idx="255">
                  <c:v>989.00696018000099</c:v>
                </c:pt>
                <c:pt idx="256">
                  <c:v>997.91153084871257</c:v>
                </c:pt>
                <c:pt idx="257">
                  <c:v>1006.6824110434319</c:v>
                </c:pt>
                <c:pt idx="258">
                  <c:v>1015.3206569838072</c:v>
                </c:pt>
                <c:pt idx="259">
                  <c:v>1023.8272992457272</c:v>
                </c:pt>
                <c:pt idx="260">
                  <c:v>1032.2033434231957</c:v>
                </c:pt>
                <c:pt idx="261">
                  <c:v>1040.4497707665073</c:v>
                </c:pt>
                <c:pt idx="262">
                  <c:v>1048.5675387976985</c:v>
                </c:pt>
                <c:pt idx="263">
                  <c:v>1056.5575819042072</c:v>
                </c:pt>
                <c:pt idx="264">
                  <c:v>1064.4208119116236</c:v>
                </c:pt>
                <c:pt idx="265">
                  <c:v>1072.1581186363771</c:v>
                </c:pt>
                <c:pt idx="266">
                  <c:v>1079.770370419164</c:v>
                </c:pt>
                <c:pt idx="267">
                  <c:v>1087.2584146398801</c:v>
                </c:pt>
                <c:pt idx="268">
                  <c:v>1094.6230782147918</c:v>
                </c:pt>
                <c:pt idx="269">
                  <c:v>1101.8651680766411</c:v>
                </c:pt>
                <c:pt idx="270">
                  <c:v>1108.9854716383527</c:v>
                </c:pt>
                <c:pt idx="271">
                  <c:v>1115.9847572409769</c:v>
                </c:pt>
                <c:pt idx="272">
                  <c:v>1122.8637745864796</c:v>
                </c:pt>
                <c:pt idx="273">
                  <c:v>1129.6232551559563</c:v>
                </c:pt>
                <c:pt idx="274">
                  <c:v>1136.2639126138315</c:v>
                </c:pt>
                <c:pt idx="275">
                  <c:v>1142.7864431985724</c:v>
                </c:pt>
                <c:pt idx="276">
                  <c:v>1149.1915261004287</c:v>
                </c:pt>
                <c:pt idx="277">
                  <c:v>1155.4798238266876</c:v>
                </c:pt>
                <c:pt idx="278">
                  <c:v>1161.6519825549137</c:v>
                </c:pt>
                <c:pt idx="279">
                  <c:v>1167.7086324746242</c:v>
                </c:pt>
                <c:pt idx="280">
                  <c:v>1173.6503881178335</c:v>
                </c:pt>
                <c:pt idx="281">
                  <c:v>1179.4778486788839</c:v>
                </c:pt>
                <c:pt idx="282">
                  <c:v>1185.1915983239655</c:v>
                </c:pt>
                <c:pt idx="283">
                  <c:v>1190.7922064907116</c:v>
                </c:pt>
                <c:pt idx="284">
                  <c:v>1196.2802281782454</c:v>
                </c:pt>
                <c:pt idx="285">
                  <c:v>1201.6562042280416</c:v>
                </c:pt>
                <c:pt idx="286">
                  <c:v>1206.9206615959536</c:v>
                </c:pt>
                <c:pt idx="287">
                  <c:v>1212.074113615749</c:v>
                </c:pt>
                <c:pt idx="288">
                  <c:v>1217.1170602544862</c:v>
                </c:pt>
                <c:pt idx="289">
                  <c:v>1222.049988360058</c:v>
                </c:pt>
                <c:pt idx="290">
                  <c:v>1226.8733719012212</c:v>
                </c:pt>
                <c:pt idx="291">
                  <c:v>1231.5876722004245</c:v>
                </c:pt>
                <c:pt idx="292">
                  <c:v>1236.1933381597455</c:v>
                </c:pt>
                <c:pt idx="293">
                  <c:v>1240.6908064802408</c:v>
                </c:pt>
                <c:pt idx="294">
                  <c:v>1245.0805018750166</c:v>
                </c:pt>
                <c:pt idx="295">
                  <c:v>1249.3628372763205</c:v>
                </c:pt>
                <c:pt idx="296">
                  <c:v>1253.5382140369641</c:v>
                </c:pt>
                <c:pt idx="297">
                  <c:v>1257.6070221263801</c:v>
                </c:pt>
                <c:pt idx="298">
                  <c:v>1261.5696403216336</c:v>
                </c:pt>
                <c:pt idx="299">
                  <c:v>1265.4264363937018</c:v>
                </c:pt>
                <c:pt idx="300">
                  <c:v>1269.177767289355</c:v>
                </c:pt>
                <c:pt idx="301">
                  <c:v>1272.8239793089767</c:v>
                </c:pt>
                <c:pt idx="302">
                  <c:v>1276.3654082806811</c:v>
                </c:pt>
                <c:pt idx="303">
                  <c:v>1279.8023797310921</c:v>
                </c:pt>
                <c:pt idx="304">
                  <c:v>1283.1352090531809</c:v>
                </c:pt>
                <c:pt idx="305">
                  <c:v>1286.364201671573</c:v>
                </c:pt>
                <c:pt idx="306">
                  <c:v>1289.4896532057635</c:v>
                </c:pt>
                <c:pt idx="307">
                  <c:v>1292.5118496317145</c:v>
                </c:pt>
                <c:pt idx="308">
                  <c:v>1295.43106744234</c:v>
                </c:pt>
                <c:pt idx="309">
                  <c:v>1298.247573807424</c:v>
                </c:pt>
                <c:pt idx="310">
                  <c:v>1300.961626733563</c:v>
                </c:pt>
                <c:pt idx="311">
                  <c:v>1303.5734752247736</c:v>
                </c:pt>
                <c:pt idx="312">
                  <c:v>1306.0833594444616</c:v>
                </c:pt>
                <c:pt idx="313">
                  <c:v>1308.491510879508</c:v>
                </c:pt>
                <c:pt idx="314">
                  <c:v>1310.7981525072958</c:v>
                </c:pt>
                <c:pt idx="315">
                  <c:v>1313.0034989665689</c:v>
                </c:pt>
                <c:pt idx="316">
                  <c:v>1315.107756733094</c:v>
                </c:pt>
                <c:pt idx="317">
                  <c:v>1317.1111243011665</c:v>
                </c:pt>
                <c:pt idx="318">
                  <c:v>1319.0137923720883</c:v>
                </c:pt>
                <c:pt idx="319">
                  <c:v>1320.81594405082</c:v>
                </c:pt>
                <c:pt idx="320">
                  <c:v>1322.51775505208</c:v>
                </c:pt>
                <c:pt idx="321">
                  <c:v>1324.1193939172363</c:v>
                </c:pt>
                <c:pt idx="322">
                  <c:v>1325.621022243381</c:v>
                </c:pt>
                <c:pt idx="323">
                  <c:v>1327.0227949260161</c:v>
                </c:pt>
                <c:pt idx="324">
                  <c:v>1328.3248604167791</c:v>
                </c:pt>
                <c:pt idx="325">
                  <c:v>1329.5273609976141</c:v>
                </c:pt>
                <c:pt idx="326">
                  <c:v>1330.6304330727162</c:v>
                </c:pt>
                <c:pt idx="327">
                  <c:v>1331.6342074794536</c:v>
                </c:pt>
                <c:pt idx="328">
                  <c:v>1332.5388098192857</c:v>
                </c:pt>
                <c:pt idx="329">
                  <c:v>1333.3443608094392</c:v>
                </c:pt>
                <c:pt idx="330">
                  <c:v>1334.0509766557805</c:v>
                </c:pt>
                <c:pt idx="331">
                  <c:v>1334.6587694469183</c:v>
                </c:pt>
                <c:pt idx="332">
                  <c:v>1335.1678475691085</c:v>
                </c:pt>
                <c:pt idx="333">
                  <c:v>1335.5783161410031</c:v>
                </c:pt>
                <c:pt idx="334">
                  <c:v>1335.8902774667242</c:v>
                </c:pt>
                <c:pt idx="335">
                  <c:v>1336.1038315051574</c:v>
                </c:pt>
                <c:pt idx="336">
                  <c:v>1336.2190763527988</c:v>
                </c:pt>
                <c:pt idx="337">
                  <c:v>1336.2361087369588</c:v>
                </c:pt>
                <c:pt idx="338">
                  <c:v>1336.1550245156895</c:v>
                </c:pt>
                <c:pt idx="339">
                  <c:v>1335.9759191804633</c:v>
                </c:pt>
                <c:pt idx="340">
                  <c:v>1335.6988883574356</c:v>
                </c:pt>
                <c:pt idx="341">
                  <c:v>1335.3240283030686</c:v>
                </c:pt>
                <c:pt idx="342">
                  <c:v>1334.8514363899967</c:v>
                </c:pt>
                <c:pt idx="343">
                  <c:v>1334.2812115792638</c:v>
                </c:pt>
                <c:pt idx="344">
                  <c:v>1333.6134548754326</c:v>
                </c:pt>
                <c:pt idx="345">
                  <c:v>1332.8482697615457</c:v>
                </c:pt>
                <c:pt idx="346">
                  <c:v>1331.9857626114576</c:v>
                </c:pt>
                <c:pt idx="347">
                  <c:v>1331.0260430776407</c:v>
                </c:pt>
                <c:pt idx="348">
                  <c:v>1329.9692244531468</c:v>
                </c:pt>
                <c:pt idx="349">
                  <c:v>1328.8154240069639</c:v>
                </c:pt>
                <c:pt idx="350">
                  <c:v>1327.5647632925168</c:v>
                </c:pt>
                <c:pt idx="351">
                  <c:v>1326.2173684295087</c:v>
                </c:pt>
                <c:pt idx="352">
                  <c:v>1324.7733703596743</c:v>
                </c:pt>
                <c:pt idx="353">
                  <c:v>1323.2329050773169</c:v>
                </c:pt>
                <c:pt idx="354">
                  <c:v>1321.5961138357306</c:v>
                </c:pt>
                <c:pt idx="355">
                  <c:v>1319.8631433307712</c:v>
                </c:pt>
                <c:pt idx="356">
                  <c:v>1318.0341458629366</c:v>
                </c:pt>
                <c:pt idx="357">
                  <c:v>1316.1092794793781</c:v>
                </c:pt>
                <c:pt idx="358">
                  <c:v>1314.088708097265</c:v>
                </c:pt>
                <c:pt idx="359">
                  <c:v>1311.9726016099094</c:v>
                </c:pt>
                <c:pt idx="360">
                  <c:v>1309.7611359770096</c:v>
                </c:pt>
                <c:pt idx="361">
                  <c:v>1307.4544933003071</c:v>
                </c:pt>
                <c:pt idx="362">
                  <c:v>1305.0528618858759</c:v>
                </c:pt>
                <c:pt idx="363">
                  <c:v>1302.5564362941836</c:v>
                </c:pt>
                <c:pt idx="364">
                  <c:v>1299.9654173789777</c:v>
                </c:pt>
                <c:pt idx="365">
                  <c:v>1297.2800123159634</c:v>
                </c:pt>
                <c:pt idx="366">
                  <c:v>1294.5004346221647</c:v>
                </c:pt>
                <c:pt idx="367">
                  <c:v>1291.626904166769</c:v>
                </c:pt>
                <c:pt idx="368">
                  <c:v>1288.659647174195</c:v>
                </c:pt>
                <c:pt idx="369">
                  <c:v>1285.5988962200433</c:v>
                </c:pt>
                <c:pt idx="370">
                  <c:v>1282.4448902205311</c:v>
                </c:pt>
                <c:pt idx="371">
                  <c:v>1279.1978744159514</c:v>
                </c:pt>
                <c:pt idx="372">
                  <c:v>1275.8581003486486</c:v>
                </c:pt>
                <c:pt idx="373">
                  <c:v>1272.4258258359432</c:v>
                </c:pt>
                <c:pt idx="374">
                  <c:v>1268.9013149384114</c:v>
                </c:pt>
                <c:pt idx="375">
                  <c:v>1265.2848379238696</c:v>
                </c:pt>
                <c:pt idx="376">
                  <c:v>1261.5766712273921</c:v>
                </c:pt>
                <c:pt idx="377">
                  <c:v>1257.7770974076509</c:v>
                </c:pt>
                <c:pt idx="378">
                  <c:v>1253.8864050998436</c:v>
                </c:pt>
                <c:pt idx="379">
                  <c:v>1249.9048889654484</c:v>
                </c:pt>
                <c:pt idx="380">
                  <c:v>1245.8328496390241</c:v>
                </c:pt>
                <c:pt idx="381">
                  <c:v>1241.6705936722515</c:v>
                </c:pt>
                <c:pt idx="382">
                  <c:v>1237.4184334754013</c:v>
                </c:pt>
                <c:pt idx="383">
                  <c:v>1233.0766872563902</c:v>
                </c:pt>
                <c:pt idx="384">
                  <c:v>1228.6456789575777</c:v>
                </c:pt>
                <c:pt idx="385">
                  <c:v>1224.1257381904466</c:v>
                </c:pt>
                <c:pt idx="386">
                  <c:v>1219.517200168292</c:v>
                </c:pt>
                <c:pt idx="387">
                  <c:v>1214.820405637043</c:v>
                </c:pt>
                <c:pt idx="388">
                  <c:v>1210.0357008043243</c:v>
                </c:pt>
                <c:pt idx="389">
                  <c:v>1205.1634372668641</c:v>
                </c:pt>
                <c:pt idx="390">
                  <c:v>1200.2039719363443</c:v>
                </c:pt>
                <c:pt idx="391">
                  <c:v>1195.1576669637845</c:v>
                </c:pt>
                <c:pt idx="392">
                  <c:v>1190.0248896625462</c:v>
                </c:pt>
                <c:pt idx="393">
                  <c:v>1184.8060124300353</c:v>
                </c:pt>
                <c:pt idx="394">
                  <c:v>1179.501412668184</c:v>
                </c:pt>
                <c:pt idx="395">
                  <c:v>1174.1114727027825</c:v>
                </c:pt>
                <c:pt idx="396">
                  <c:v>1168.6365797017302</c:v>
                </c:pt>
                <c:pt idx="397">
                  <c:v>1163.0771255922732</c:v>
                </c:pt>
                <c:pt idx="398">
                  <c:v>1157.4335069772926</c:v>
                </c:pt>
                <c:pt idx="399">
                  <c:v>1151.7061250507038</c:v>
                </c:pt>
                <c:pt idx="400">
                  <c:v>1145.895385512026</c:v>
                </c:pt>
                <c:pt idx="401">
                  <c:v>1140.00169848018</c:v>
                </c:pt>
                <c:pt idx="402">
                  <c:v>1134.0254784065673</c:v>
                </c:pt>
                <c:pt idx="403">
                  <c:v>1127.9671439874853</c:v>
                </c:pt>
                <c:pt idx="404">
                  <c:v>1121.8271180759302</c:v>
                </c:pt>
                <c:pt idx="405">
                  <c:v>1115.6058275928378</c:v>
                </c:pt>
                <c:pt idx="406">
                  <c:v>1109.3037034378101</c:v>
                </c:pt>
                <c:pt idx="407">
                  <c:v>1102.9211803993776</c:v>
                </c:pt>
                <c:pt idx="408">
                  <c:v>1096.4586970648415</c:v>
                </c:pt>
                <c:pt idx="409">
                  <c:v>1089.916695729743</c:v>
                </c:pt>
                <c:pt idx="410">
                  <c:v>1083.2956223070028</c:v>
                </c:pt>
                <c:pt idx="411">
                  <c:v>1076.5959262357749</c:v>
                </c:pt>
                <c:pt idx="412">
                  <c:v>1069.8180603900576</c:v>
                </c:pt>
                <c:pt idx="413">
                  <c:v>1062.962480987102</c:v>
                </c:pt>
                <c:pt idx="414">
                  <c:v>1056.0296474956597</c:v>
                </c:pt>
                <c:pt idx="415">
                  <c:v>1049.0200225441092</c:v>
                </c:pt>
                <c:pt idx="416">
                  <c:v>1041.9340718285016</c:v>
                </c:pt>
                <c:pt idx="417">
                  <c:v>1034.7722640205607</c:v>
                </c:pt>
                <c:pt idx="418">
                  <c:v>1027.5350706756778</c:v>
                </c:pt>
                <c:pt idx="419">
                  <c:v>1020.2229661409385</c:v>
                </c:pt>
                <c:pt idx="420">
                  <c:v>1012.8364274632144</c:v>
                </c:pt>
                <c:pt idx="421">
                  <c:v>1005.3759342973584</c:v>
                </c:pt>
                <c:pt idx="422">
                  <c:v>997.84196881453704</c:v>
                </c:pt>
                <c:pt idx="423">
                  <c:v>990.23501561073329</c:v>
                </c:pt>
                <c:pt idx="424">
                  <c:v>982.55556161545417</c:v>
                </c:pt>
                <c:pt idx="425">
                  <c:v>974.80409600067549</c:v>
                </c:pt>
                <c:pt idx="426">
                  <c:v>966.98111009005538</c:v>
                </c:pt>
                <c:pt idx="427">
                  <c:v>959.08709726844813</c:v>
                </c:pt>
                <c:pt idx="428">
                  <c:v>951.12255289174925</c:v>
                </c:pt>
                <c:pt idx="429">
                  <c:v>943.08797419710118</c:v>
                </c:pt>
                <c:pt idx="430">
                  <c:v>934.98386021348927</c:v>
                </c:pt>
                <c:pt idx="431">
                  <c:v>926.81071167275638</c:v>
                </c:pt>
                <c:pt idx="432">
                  <c:v>918.56903092106461</c:v>
                </c:pt>
                <c:pt idx="433">
                  <c:v>910.25932183083069</c:v>
                </c:pt>
                <c:pt idx="434">
                  <c:v>901.88208971316203</c:v>
                </c:pt>
                <c:pt idx="435">
                  <c:v>893.43784123081946</c:v>
                </c:pt>
                <c:pt idx="436">
                  <c:v>884.92708431173196</c:v>
                </c:pt>
                <c:pt idx="437">
                  <c:v>876.3503280630872</c:v>
                </c:pt>
                <c:pt idx="438">
                  <c:v>867.70808268602309</c:v>
                </c:pt>
                <c:pt idx="439">
                  <c:v>859.00085939094288</c:v>
                </c:pt>
                <c:pt idx="440">
                  <c:v>850.22917031347595</c:v>
                </c:pt>
                <c:pt idx="441">
                  <c:v>841.3935284311076</c:v>
                </c:pt>
                <c:pt idx="442">
                  <c:v>832.49444748049757</c:v>
                </c:pt>
                <c:pt idx="443">
                  <c:v>823.53244187550877</c:v>
                </c:pt>
                <c:pt idx="444">
                  <c:v>814.50802662596618</c:v>
                </c:pt>
                <c:pt idx="445">
                  <c:v>805.42171725716491</c:v>
                </c:pt>
                <c:pt idx="446">
                  <c:v>796.2740297301458</c:v>
                </c:pt>
                <c:pt idx="447">
                  <c:v>787.06548036275706</c:v>
                </c:pt>
                <c:pt idx="448">
                  <c:v>777.79658575151893</c:v>
                </c:pt>
                <c:pt idx="449">
                  <c:v>768.46786269430788</c:v>
                </c:pt>
                <c:pt idx="450">
                  <c:v>759.07982811387672</c:v>
                </c:pt>
                <c:pt idx="451">
                  <c:v>749.63299898222522</c:v>
                </c:pt>
                <c:pt idx="452">
                  <c:v>740.12789224583707</c:v>
                </c:pt>
                <c:pt idx="453">
                  <c:v>730.56502475179582</c:v>
                </c:pt>
                <c:pt idx="454">
                  <c:v>720.94491317479424</c:v>
                </c:pt>
                <c:pt idx="455">
                  <c:v>711.26807394504965</c:v>
                </c:pt>
                <c:pt idx="456">
                  <c:v>701.53502317713674</c:v>
                </c:pt>
                <c:pt idx="457">
                  <c:v>691.74627659975044</c:v>
                </c:pt>
                <c:pt idx="458">
                  <c:v>681.90234948640853</c:v>
                </c:pt>
                <c:pt idx="459">
                  <c:v>672.00375658710516</c:v>
                </c:pt>
                <c:pt idx="460">
                  <c:v>662.05101206092456</c:v>
                </c:pt>
                <c:pt idx="461">
                  <c:v>652.04462940962412</c:v>
                </c:pt>
                <c:pt idx="462">
                  <c:v>641.98512141219487</c:v>
                </c:pt>
                <c:pt idx="463">
                  <c:v>631.87300006040789</c:v>
                </c:pt>
                <c:pt idx="464">
                  <c:v>621.70877649535328</c:v>
                </c:pt>
                <c:pt idx="465">
                  <c:v>611.49296094497913</c:v>
                </c:pt>
                <c:pt idx="466">
                  <c:v>601.22606266263551</c:v>
                </c:pt>
                <c:pt idx="467">
                  <c:v>590.90858986663045</c:v>
                </c:pt>
                <c:pt idx="468">
                  <c:v>580.54104968080151</c:v>
                </c:pt>
                <c:pt idx="469">
                  <c:v>570.12394807610826</c:v>
                </c:pt>
                <c:pt idx="470">
                  <c:v>559.65778981324945</c:v>
                </c:pt>
                <c:pt idx="471">
                  <c:v>549.14307838630828</c:v>
                </c:pt>
                <c:pt idx="472">
                  <c:v>538.58031596742831</c:v>
                </c:pt>
                <c:pt idx="473">
                  <c:v>527.97000335252278</c:v>
                </c:pt>
                <c:pt idx="474">
                  <c:v>517.3126399080187</c:v>
                </c:pt>
                <c:pt idx="475">
                  <c:v>506.60872351863782</c:v>
                </c:pt>
                <c:pt idx="476">
                  <c:v>495.85875053621459</c:v>
                </c:pt>
                <c:pt idx="477">
                  <c:v>485.06321572955198</c:v>
                </c:pt>
                <c:pt idx="478">
                  <c:v>474.22261223531467</c:v>
                </c:pt>
                <c:pt idx="479">
                  <c:v>463.33743150995963</c:v>
                </c:pt>
                <c:pt idx="480">
                  <c:v>452.40816328270256</c:v>
                </c:pt>
                <c:pt idx="481">
                  <c:v>441.43529550951916</c:v>
                </c:pt>
                <c:pt idx="482">
                  <c:v>430.41931432817921</c:v>
                </c:pt>
                <c:pt idx="483">
                  <c:v>419.36070401431112</c:v>
                </c:pt>
                <c:pt idx="484">
                  <c:v>408.25994693849441</c:v>
                </c:pt>
                <c:pt idx="485">
                  <c:v>397.11752352437719</c:v>
                </c:pt>
                <c:pt idx="486">
                  <c:v>385.93391220781467</c:v>
                </c:pt>
                <c:pt idx="487">
                  <c:v>374.70958939702547</c:v>
                </c:pt>
                <c:pt idx="488">
                  <c:v>363.44502943376108</c:v>
                </c:pt>
                <c:pt idx="489">
                  <c:v>352.14070455548421</c:v>
                </c:pt>
                <c:pt idx="490">
                  <c:v>340.79708485855076</c:v>
                </c:pt>
                <c:pt idx="491">
                  <c:v>329.41463826239061</c:v>
                </c:pt>
                <c:pt idx="492">
                  <c:v>317.99383047468115</c:v>
                </c:pt>
                <c:pt idx="493">
                  <c:v>306.53512495750829</c:v>
                </c:pt>
                <c:pt idx="494">
                  <c:v>295.03898289450791</c:v>
                </c:pt>
                <c:pt idx="495">
                  <c:v>283.50586315898215</c:v>
                </c:pt>
                <c:pt idx="496">
                  <c:v>271.93622228298307</c:v>
                </c:pt>
                <c:pt idx="497">
                  <c:v>260.33051442735689</c:v>
                </c:pt>
                <c:pt idx="498">
                  <c:v>248.68919135274152</c:v>
                </c:pt>
                <c:pt idx="499">
                  <c:v>237.01270239150983</c:v>
                </c:pt>
                <c:pt idx="500">
                  <c:v>225.3014944206505</c:v>
                </c:pt>
                <c:pt idx="501">
                  <c:v>213.55601183557886</c:v>
                </c:pt>
                <c:pt idx="502">
                  <c:v>201.77669652486892</c:v>
                </c:pt>
                <c:pt idx="503">
                  <c:v>189.96398784589863</c:v>
                </c:pt>
                <c:pt idx="504">
                  <c:v>178.11832260139906</c:v>
                </c:pt>
                <c:pt idx="505">
                  <c:v>166.24013501689907</c:v>
                </c:pt>
                <c:pt idx="506">
                  <c:v>154.32985671905604</c:v>
                </c:pt>
                <c:pt idx="507">
                  <c:v>142.38791671486348</c:v>
                </c:pt>
                <c:pt idx="508">
                  <c:v>130.41474137172617</c:v>
                </c:pt>
                <c:pt idx="509">
                  <c:v>118.4107543983929</c:v>
                </c:pt>
                <c:pt idx="510">
                  <c:v>106.37637682673738</c:v>
                </c:pt>
                <c:pt idx="511">
                  <c:v>94.31202699437722</c:v>
                </c:pt>
                <c:pt idx="512">
                  <c:v>82.218120528120721</c:v>
                </c:pt>
                <c:pt idx="513">
                  <c:v>70.095070328231827</c:v>
                </c:pt>
                <c:pt idx="514">
                  <c:v>57.943286553502297</c:v>
                </c:pt>
                <c:pt idx="515">
                  <c:v>45.763176607121189</c:v>
                </c:pt>
                <c:pt idx="516">
                  <c:v>33.555145123330803</c:v>
                </c:pt>
                <c:pt idx="517">
                  <c:v>21.319593954858657</c:v>
                </c:pt>
                <c:pt idx="518">
                  <c:v>9.0569221611146666</c:v>
                </c:pt>
                <c:pt idx="519">
                  <c:v>-3.232474002857165</c:v>
                </c:pt>
                <c:pt idx="520">
                  <c:v>-3.2447766755611598</c:v>
                </c:pt>
                <c:pt idx="521">
                  <c:v>-3.2570793743998752</c:v>
                </c:pt>
                <c:pt idx="522">
                  <c:v>-3.2693820993729226</c:v>
                </c:pt>
                <c:pt idx="523">
                  <c:v>-3.2816848504799134</c:v>
                </c:pt>
                <c:pt idx="524">
                  <c:v>-3.2939876277204601</c:v>
                </c:pt>
                <c:pt idx="525">
                  <c:v>-3.3062904310941734</c:v>
                </c:pt>
                <c:pt idx="526">
                  <c:v>-3.3185932606006654</c:v>
                </c:pt>
                <c:pt idx="527">
                  <c:v>-3.3308961162395478</c:v>
                </c:pt>
                <c:pt idx="528">
                  <c:v>-3.3431989980104322</c:v>
                </c:pt>
                <c:pt idx="529">
                  <c:v>-3.3555019059129303</c:v>
                </c:pt>
                <c:pt idx="530">
                  <c:v>-3.367804839946654</c:v>
                </c:pt>
                <c:pt idx="531">
                  <c:v>-3.3801078001112148</c:v>
                </c:pt>
                <c:pt idx="532">
                  <c:v>-3.3924107864062241</c:v>
                </c:pt>
                <c:pt idx="533">
                  <c:v>-3.4047137988312941</c:v>
                </c:pt>
                <c:pt idx="534">
                  <c:v>-3.4170168373860359</c:v>
                </c:pt>
                <c:pt idx="535">
                  <c:v>-3.4293199020700618</c:v>
                </c:pt>
                <c:pt idx="536">
                  <c:v>-3.4416229928829831</c:v>
                </c:pt>
                <c:pt idx="537">
                  <c:v>-3.4539261098244114</c:v>
                </c:pt>
                <c:pt idx="538">
                  <c:v>-3.4662292528939589</c:v>
                </c:pt>
                <c:pt idx="539">
                  <c:v>-3.478532422091237</c:v>
                </c:pt>
                <c:pt idx="540">
                  <c:v>-3.4908356174158572</c:v>
                </c:pt>
                <c:pt idx="541">
                  <c:v>-3.5031388388674314</c:v>
                </c:pt>
                <c:pt idx="542">
                  <c:v>-3.5154420864455713</c:v>
                </c:pt>
                <c:pt idx="543">
                  <c:v>-3.5277453601498885</c:v>
                </c:pt>
                <c:pt idx="544">
                  <c:v>-3.5400486599799947</c:v>
                </c:pt>
                <c:pt idx="545">
                  <c:v>-3.5523519859355019</c:v>
                </c:pt>
                <c:pt idx="546">
                  <c:v>-3.564655338016022</c:v>
                </c:pt>
                <c:pt idx="547">
                  <c:v>-3.5769587162211662</c:v>
                </c:pt>
                <c:pt idx="548">
                  <c:v>-3.5892621205505466</c:v>
                </c:pt>
                <c:pt idx="549">
                  <c:v>-3.6015655510037745</c:v>
                </c:pt>
                <c:pt idx="550">
                  <c:v>-3.6138690075804618</c:v>
                </c:pt>
                <c:pt idx="551">
                  <c:v>-3.6261724902802204</c:v>
                </c:pt>
                <c:pt idx="552">
                  <c:v>-3.6384759991026621</c:v>
                </c:pt>
                <c:pt idx="553">
                  <c:v>-3.6507795340473983</c:v>
                </c:pt>
                <c:pt idx="554">
                  <c:v>-3.663083095114041</c:v>
                </c:pt>
                <c:pt idx="555">
                  <c:v>-3.6753866823022019</c:v>
                </c:pt>
                <c:pt idx="556">
                  <c:v>-3.6876902956114925</c:v>
                </c:pt>
                <c:pt idx="557">
                  <c:v>-3.6999939350415252</c:v>
                </c:pt>
                <c:pt idx="558">
                  <c:v>-3.7122976005919113</c:v>
                </c:pt>
                <c:pt idx="559">
                  <c:v>-3.7246012922622622</c:v>
                </c:pt>
                <c:pt idx="560">
                  <c:v>-3.7369050100521903</c:v>
                </c:pt>
                <c:pt idx="561">
                  <c:v>-3.749208753961307</c:v>
                </c:pt>
                <c:pt idx="562">
                  <c:v>-3.7615125239892242</c:v>
                </c:pt>
                <c:pt idx="563">
                  <c:v>-3.7738163201355537</c:v>
                </c:pt>
                <c:pt idx="564">
                  <c:v>-3.7861201423999074</c:v>
                </c:pt>
                <c:pt idx="565">
                  <c:v>-3.7984239907818966</c:v>
                </c:pt>
                <c:pt idx="566">
                  <c:v>-3.8107278652811334</c:v>
                </c:pt>
                <c:pt idx="567">
                  <c:v>-3.8230317658972295</c:v>
                </c:pt>
                <c:pt idx="568">
                  <c:v>-3.8353356926297968</c:v>
                </c:pt>
                <c:pt idx="569">
                  <c:v>-3.8476396454784472</c:v>
                </c:pt>
                <c:pt idx="570">
                  <c:v>-3.859943624442792</c:v>
                </c:pt>
                <c:pt idx="571">
                  <c:v>-3.8722476295224433</c:v>
                </c:pt>
                <c:pt idx="572">
                  <c:v>-3.8845516607170127</c:v>
                </c:pt>
                <c:pt idx="573">
                  <c:v>-3.8968557180261123</c:v>
                </c:pt>
                <c:pt idx="574">
                  <c:v>-3.9091598014493538</c:v>
                </c:pt>
                <c:pt idx="575">
                  <c:v>-3.9214639109863492</c:v>
                </c:pt>
                <c:pt idx="576">
                  <c:v>-3.9337680466367098</c:v>
                </c:pt>
                <c:pt idx="577">
                  <c:v>-3.9460722084000479</c:v>
                </c:pt>
                <c:pt idx="578">
                  <c:v>-3.958376396275975</c:v>
                </c:pt>
                <c:pt idx="579">
                  <c:v>-3.970680610264103</c:v>
                </c:pt>
                <c:pt idx="580">
                  <c:v>-3.9829848503640437</c:v>
                </c:pt>
                <c:pt idx="581">
                  <c:v>-3.995289116575409</c:v>
                </c:pt>
                <c:pt idx="582">
                  <c:v>-4.0075934088978107</c:v>
                </c:pt>
                <c:pt idx="583">
                  <c:v>-4.0198977273308607</c:v>
                </c:pt>
                <c:pt idx="584">
                  <c:v>-4.0322020718741705</c:v>
                </c:pt>
                <c:pt idx="585">
                  <c:v>-4.0445064425273518</c:v>
                </c:pt>
                <c:pt idx="586">
                  <c:v>-4.0568108392900175</c:v>
                </c:pt>
                <c:pt idx="587">
                  <c:v>-4.0691152621617785</c:v>
                </c:pt>
                <c:pt idx="588">
                  <c:v>-4.0814197111422468</c:v>
                </c:pt>
                <c:pt idx="589">
                  <c:v>-4.0937241862310341</c:v>
                </c:pt>
                <c:pt idx="590">
                  <c:v>-4.1060286874277523</c:v>
                </c:pt>
                <c:pt idx="591">
                  <c:v>-4.1183332147320133</c:v>
                </c:pt>
                <c:pt idx="592">
                  <c:v>-4.130637768143429</c:v>
                </c:pt>
                <c:pt idx="593">
                  <c:v>-4.1429423476616121</c:v>
                </c:pt>
                <c:pt idx="594">
                  <c:v>-4.1552469532861736</c:v>
                </c:pt>
                <c:pt idx="595">
                  <c:v>-4.1675515850167253</c:v>
                </c:pt>
                <c:pt idx="596">
                  <c:v>-4.1798562428528792</c:v>
                </c:pt>
                <c:pt idx="597">
                  <c:v>-4.192160926794247</c:v>
                </c:pt>
                <c:pt idx="598">
                  <c:v>-4.2044656368404407</c:v>
                </c:pt>
                <c:pt idx="599">
                  <c:v>-4.2167703729910722</c:v>
                </c:pt>
                <c:pt idx="600">
                  <c:v>-4.2290751352457532</c:v>
                </c:pt>
                <c:pt idx="601">
                  <c:v>-4.2413799236040957</c:v>
                </c:pt>
                <c:pt idx="602">
                  <c:v>-4.2536847380657115</c:v>
                </c:pt>
                <c:pt idx="603">
                  <c:v>-4.2659895786302124</c:v>
                </c:pt>
                <c:pt idx="604">
                  <c:v>-4.2782944452972105</c:v>
                </c:pt>
                <c:pt idx="605">
                  <c:v>-4.2905993380663174</c:v>
                </c:pt>
                <c:pt idx="606">
                  <c:v>-4.3029042569371452</c:v>
                </c:pt>
                <c:pt idx="607">
                  <c:v>-4.3152092019093056</c:v>
                </c:pt>
                <c:pt idx="608">
                  <c:v>-4.3275141729824114</c:v>
                </c:pt>
                <c:pt idx="609">
                  <c:v>-4.3398191701560735</c:v>
                </c:pt>
                <c:pt idx="610">
                  <c:v>-4.352124193429904</c:v>
                </c:pt>
                <c:pt idx="611">
                  <c:v>-4.3644292428035154</c:v>
                </c:pt>
                <c:pt idx="612">
                  <c:v>-4.3767343182765188</c:v>
                </c:pt>
                <c:pt idx="613">
                  <c:v>-4.3890394198485261</c:v>
                </c:pt>
                <c:pt idx="614">
                  <c:v>-4.4013445475191499</c:v>
                </c:pt>
                <c:pt idx="615">
                  <c:v>-4.4136497012880014</c:v>
                </c:pt>
                <c:pt idx="616">
                  <c:v>-4.4259548811546932</c:v>
                </c:pt>
                <c:pt idx="617">
                  <c:v>-4.4382600871188362</c:v>
                </c:pt>
                <c:pt idx="618">
                  <c:v>-4.4505653191800434</c:v>
                </c:pt>
                <c:pt idx="619">
                  <c:v>-4.4628705773379265</c:v>
                </c:pt>
                <c:pt idx="620">
                  <c:v>-4.4751758615920973</c:v>
                </c:pt>
                <c:pt idx="621">
                  <c:v>-4.4874811719421679</c:v>
                </c:pt>
                <c:pt idx="622">
                  <c:v>-4.49978650838775</c:v>
                </c:pt>
                <c:pt idx="623">
                  <c:v>-4.5120918709284554</c:v>
                </c:pt>
                <c:pt idx="624">
                  <c:v>-4.5243972595638962</c:v>
                </c:pt>
                <c:pt idx="625">
                  <c:v>-4.536702674293684</c:v>
                </c:pt>
                <c:pt idx="626">
                  <c:v>-4.5490081151174309</c:v>
                </c:pt>
                <c:pt idx="627">
                  <c:v>-4.5613135820347495</c:v>
                </c:pt>
                <c:pt idx="628">
                  <c:v>-4.5736190750452508</c:v>
                </c:pt>
                <c:pt idx="629">
                  <c:v>-4.5859245941485476</c:v>
                </c:pt>
                <c:pt idx="630">
                  <c:v>-4.5982301393442517</c:v>
                </c:pt>
                <c:pt idx="631">
                  <c:v>-4.6105357106319742</c:v>
                </c:pt>
                <c:pt idx="632">
                  <c:v>-4.6228413080113278</c:v>
                </c:pt>
                <c:pt idx="633">
                  <c:v>-4.6351469314819242</c:v>
                </c:pt>
                <c:pt idx="634">
                  <c:v>-4.6474525810433756</c:v>
                </c:pt>
                <c:pt idx="635">
                  <c:v>-4.6597582566952944</c:v>
                </c:pt>
                <c:pt idx="636">
                  <c:v>-4.6720639584372918</c:v>
                </c:pt>
                <c:pt idx="637">
                  <c:v>-4.6843696862689796</c:v>
                </c:pt>
                <c:pt idx="638">
                  <c:v>-4.6966754401899706</c:v>
                </c:pt>
                <c:pt idx="639">
                  <c:v>-4.7089812201998766</c:v>
                </c:pt>
                <c:pt idx="640">
                  <c:v>-4.7212870262983095</c:v>
                </c:pt>
                <c:pt idx="641">
                  <c:v>-4.7335928584848812</c:v>
                </c:pt>
                <c:pt idx="642">
                  <c:v>-4.7458987167592035</c:v>
                </c:pt>
                <c:pt idx="643">
                  <c:v>-4.7582046011208883</c:v>
                </c:pt>
                <c:pt idx="644">
                  <c:v>-4.7705105115695483</c:v>
                </c:pt>
                <c:pt idx="645">
                  <c:v>-4.7828164481047946</c:v>
                </c:pt>
                <c:pt idx="646">
                  <c:v>-4.7951224107262398</c:v>
                </c:pt>
                <c:pt idx="647">
                  <c:v>-4.8074283994334959</c:v>
                </c:pt>
                <c:pt idx="648">
                  <c:v>-4.8197344142261747</c:v>
                </c:pt>
                <c:pt idx="649">
                  <c:v>-4.832040455103888</c:v>
                </c:pt>
                <c:pt idx="650">
                  <c:v>-4.8443465220662487</c:v>
                </c:pt>
                <c:pt idx="651">
                  <c:v>-4.8566526151128677</c:v>
                </c:pt>
                <c:pt idx="652">
                  <c:v>-4.8689587342433578</c:v>
                </c:pt>
                <c:pt idx="653">
                  <c:v>-4.8812648794573308</c:v>
                </c:pt>
                <c:pt idx="654">
                  <c:v>-4.8935710507543986</c:v>
                </c:pt>
                <c:pt idx="655">
                  <c:v>-4.905877248134173</c:v>
                </c:pt>
                <c:pt idx="656">
                  <c:v>-4.918183471596266</c:v>
                </c:pt>
                <c:pt idx="657">
                  <c:v>-4.9304897211402903</c:v>
                </c:pt>
                <c:pt idx="658">
                  <c:v>-4.9427959967658577</c:v>
                </c:pt>
                <c:pt idx="659">
                  <c:v>-4.9551022984725801</c:v>
                </c:pt>
                <c:pt idx="660">
                  <c:v>-4.9674086262600694</c:v>
                </c:pt>
                <c:pt idx="661">
                  <c:v>-4.9797149801279375</c:v>
                </c:pt>
                <c:pt idx="662">
                  <c:v>-4.992021360075797</c:v>
                </c:pt>
                <c:pt idx="663">
                  <c:v>-5.0043277661032599</c:v>
                </c:pt>
                <c:pt idx="664">
                  <c:v>-5.0166341982099381</c:v>
                </c:pt>
                <c:pt idx="665">
                  <c:v>-5.0289406563954433</c:v>
                </c:pt>
                <c:pt idx="666">
                  <c:v>-5.0412471406593875</c:v>
                </c:pt>
                <c:pt idx="667">
                  <c:v>-5.0535536510013834</c:v>
                </c:pt>
                <c:pt idx="668">
                  <c:v>-5.0658601874210429</c:v>
                </c:pt>
                <c:pt idx="669">
                  <c:v>-5.0781667499179779</c:v>
                </c:pt>
                <c:pt idx="670">
                  <c:v>-5.0904733384918002</c:v>
                </c:pt>
                <c:pt idx="671">
                  <c:v>-5.1027799531421225</c:v>
                </c:pt>
                <c:pt idx="672">
                  <c:v>-5.1150865938685568</c:v>
                </c:pt>
                <c:pt idx="673">
                  <c:v>-5.1273932606707149</c:v>
                </c:pt>
                <c:pt idx="674">
                  <c:v>-5.1396999535482086</c:v>
                </c:pt>
                <c:pt idx="675">
                  <c:v>-5.1520066725006508</c:v>
                </c:pt>
                <c:pt idx="676">
                  <c:v>-5.1643134175276524</c:v>
                </c:pt>
                <c:pt idx="677">
                  <c:v>-5.1766201886288261</c:v>
                </c:pt>
                <c:pt idx="678">
                  <c:v>-5.1889269858037848</c:v>
                </c:pt>
                <c:pt idx="679">
                  <c:v>-5.2012338090521393</c:v>
                </c:pt>
                <c:pt idx="680">
                  <c:v>-5.2135406583735024</c:v>
                </c:pt>
                <c:pt idx="681">
                  <c:v>-5.2258475337674861</c:v>
                </c:pt>
                <c:pt idx="682">
                  <c:v>-5.2381544352337022</c:v>
                </c:pt>
                <c:pt idx="683">
                  <c:v>-5.2504613627717633</c:v>
                </c:pt>
                <c:pt idx="684">
                  <c:v>-5.2627683163812815</c:v>
                </c:pt>
                <c:pt idx="685">
                  <c:v>-5.2750752960618685</c:v>
                </c:pt>
                <c:pt idx="686">
                  <c:v>-5.2873823018131363</c:v>
                </c:pt>
                <c:pt idx="687">
                  <c:v>-5.2996893336346975</c:v>
                </c:pt>
                <c:pt idx="688">
                  <c:v>-5.3119963915261641</c:v>
                </c:pt>
                <c:pt idx="689">
                  <c:v>-5.3243034754871479</c:v>
                </c:pt>
                <c:pt idx="690">
                  <c:v>-5.3366105855172608</c:v>
                </c:pt>
                <c:pt idx="691">
                  <c:v>-5.3489177216161155</c:v>
                </c:pt>
                <c:pt idx="692">
                  <c:v>-5.3612248837833238</c:v>
                </c:pt>
                <c:pt idx="693">
                  <c:v>-5.3735320720184987</c:v>
                </c:pt>
                <c:pt idx="694">
                  <c:v>-5.3858392863212519</c:v>
                </c:pt>
                <c:pt idx="695">
                  <c:v>-5.3981465266911952</c:v>
                </c:pt>
                <c:pt idx="696">
                  <c:v>-5.4104537931279406</c:v>
                </c:pt>
                <c:pt idx="697">
                  <c:v>-5.4227610856311008</c:v>
                </c:pt>
                <c:pt idx="698">
                  <c:v>-5.4350684042002877</c:v>
                </c:pt>
                <c:pt idx="699">
                  <c:v>-5.4473757488351131</c:v>
                </c:pt>
                <c:pt idx="700">
                  <c:v>-5.4596831195351889</c:v>
                </c:pt>
                <c:pt idx="701">
                  <c:v>-5.4719905163001279</c:v>
                </c:pt>
                <c:pt idx="702">
                  <c:v>-5.4842979391295428</c:v>
                </c:pt>
                <c:pt idx="703">
                  <c:v>-5.4966053880230445</c:v>
                </c:pt>
                <c:pt idx="704">
                  <c:v>-5.508912862980246</c:v>
                </c:pt>
                <c:pt idx="705">
                  <c:v>-5.5212203640007589</c:v>
                </c:pt>
                <c:pt idx="706">
                  <c:v>-5.5335278910841961</c:v>
                </c:pt>
                <c:pt idx="707">
                  <c:v>-5.5458354442301694</c:v>
                </c:pt>
                <c:pt idx="708">
                  <c:v>-5.5581430234382907</c:v>
                </c:pt>
                <c:pt idx="709">
                  <c:v>-5.5704506287081728</c:v>
                </c:pt>
                <c:pt idx="710">
                  <c:v>-5.5827582600394274</c:v>
                </c:pt>
                <c:pt idx="711">
                  <c:v>-5.5950659174316666</c:v>
                </c:pt>
                <c:pt idx="712">
                  <c:v>-5.607373600884503</c:v>
                </c:pt>
                <c:pt idx="713">
                  <c:v>-5.6196813103975485</c:v>
                </c:pt>
                <c:pt idx="714">
                  <c:v>-5.6319890459704149</c:v>
                </c:pt>
                <c:pt idx="715">
                  <c:v>-5.6442968076027151</c:v>
                </c:pt>
                <c:pt idx="716">
                  <c:v>-5.6566045952940618</c:v>
                </c:pt>
                <c:pt idx="717">
                  <c:v>-5.6689124090440659</c:v>
                </c:pt>
                <c:pt idx="718">
                  <c:v>-5.6812202488523402</c:v>
                </c:pt>
                <c:pt idx="719">
                  <c:v>-5.6935281147184966</c:v>
                </c:pt>
                <c:pt idx="720">
                  <c:v>-5.7058360066421479</c:v>
                </c:pt>
                <c:pt idx="721">
                  <c:v>-5.7181439246229058</c:v>
                </c:pt>
                <c:pt idx="722">
                  <c:v>-5.7304518686603831</c:v>
                </c:pt>
                <c:pt idx="723">
                  <c:v>-5.7427598387541918</c:v>
                </c:pt>
                <c:pt idx="724">
                  <c:v>-5.7550678349039437</c:v>
                </c:pt>
                <c:pt idx="725">
                  <c:v>-5.7673758571092506</c:v>
                </c:pt>
                <c:pt idx="726">
                  <c:v>-5.7796839053697262</c:v>
                </c:pt>
                <c:pt idx="727">
                  <c:v>-5.7919919796849815</c:v>
                </c:pt>
                <c:pt idx="728">
                  <c:v>-5.8043000800546292</c:v>
                </c:pt>
                <c:pt idx="729">
                  <c:v>-5.8166082064782811</c:v>
                </c:pt>
                <c:pt idx="730">
                  <c:v>-5.8289163589555502</c:v>
                </c:pt>
                <c:pt idx="731">
                  <c:v>-5.8412245374860481</c:v>
                </c:pt>
                <c:pt idx="732">
                  <c:v>-5.8535327420693877</c:v>
                </c:pt>
                <c:pt idx="733">
                  <c:v>-5.8658409727051808</c:v>
                </c:pt>
                <c:pt idx="734">
                  <c:v>-5.8781492293930393</c:v>
                </c:pt>
                <c:pt idx="735">
                  <c:v>-5.890457512132576</c:v>
                </c:pt>
                <c:pt idx="736">
                  <c:v>-5.9027658209234026</c:v>
                </c:pt>
                <c:pt idx="737">
                  <c:v>-5.9150741557651321</c:v>
                </c:pt>
                <c:pt idx="738">
                  <c:v>-5.9273825166573761</c:v>
                </c:pt>
                <c:pt idx="739">
                  <c:v>-5.9396909035997476</c:v>
                </c:pt>
                <c:pt idx="740">
                  <c:v>-5.9519993165918583</c:v>
                </c:pt>
                <c:pt idx="741">
                  <c:v>-5.9643077556333211</c:v>
                </c:pt>
                <c:pt idx="742">
                  <c:v>-5.9766162207237468</c:v>
                </c:pt>
                <c:pt idx="743">
                  <c:v>-5.9889247118627491</c:v>
                </c:pt>
                <c:pt idx="744">
                  <c:v>-6.0012332290499399</c:v>
                </c:pt>
                <c:pt idx="745">
                  <c:v>-6.0135417722849311</c:v>
                </c:pt>
                <c:pt idx="746">
                  <c:v>-6.0258503415673355</c:v>
                </c:pt>
                <c:pt idx="747">
                  <c:v>-6.0381589368967648</c:v>
                </c:pt>
                <c:pt idx="748">
                  <c:v>-6.0504675582728318</c:v>
                </c:pt>
                <c:pt idx="749">
                  <c:v>-6.0627762056951484</c:v>
                </c:pt>
                <c:pt idx="750">
                  <c:v>-6.0750848791633274</c:v>
                </c:pt>
                <c:pt idx="751">
                  <c:v>-6.0873935786769806</c:v>
                </c:pt>
                <c:pt idx="752">
                  <c:v>-6.0997023042357208</c:v>
                </c:pt>
                <c:pt idx="753">
                  <c:v>-6.1120110558391598</c:v>
                </c:pt>
                <c:pt idx="754">
                  <c:v>-6.1243198334869104</c:v>
                </c:pt>
                <c:pt idx="755">
                  <c:v>-6.1366286371785845</c:v>
                </c:pt>
                <c:pt idx="756">
                  <c:v>-6.1489374669137948</c:v>
                </c:pt>
                <c:pt idx="757">
                  <c:v>-6.1612463226921532</c:v>
                </c:pt>
                <c:pt idx="758">
                  <c:v>-6.1735552045132724</c:v>
                </c:pt>
                <c:pt idx="759">
                  <c:v>-6.1858641123767644</c:v>
                </c:pt>
                <c:pt idx="760">
                  <c:v>-6.1981730462822417</c:v>
                </c:pt>
                <c:pt idx="761">
                  <c:v>-6.2104820062293165</c:v>
                </c:pt>
                <c:pt idx="762">
                  <c:v>-6.2227909922176003</c:v>
                </c:pt>
                <c:pt idx="763">
                  <c:v>-6.2351000042467071</c:v>
                </c:pt>
                <c:pt idx="764">
                  <c:v>-6.2474090423162476</c:v>
                </c:pt>
                <c:pt idx="765">
                  <c:v>-6.2597181064258356</c:v>
                </c:pt>
                <c:pt idx="766">
                  <c:v>-6.2720271965750829</c:v>
                </c:pt>
                <c:pt idx="767">
                  <c:v>-6.2843363127636014</c:v>
                </c:pt>
                <c:pt idx="768">
                  <c:v>-6.2966454549910038</c:v>
                </c:pt>
                <c:pt idx="769">
                  <c:v>-6.308954623256902</c:v>
                </c:pt>
                <c:pt idx="770">
                  <c:v>-6.3212638175609088</c:v>
                </c:pt>
                <c:pt idx="771">
                  <c:v>-6.3335730379026369</c:v>
                </c:pt>
                <c:pt idx="772">
                  <c:v>-6.3458822842816982</c:v>
                </c:pt>
                <c:pt idx="773">
                  <c:v>-6.3581915566977054</c:v>
                </c:pt>
                <c:pt idx="774">
                  <c:v>-6.3705008551502704</c:v>
                </c:pt>
                <c:pt idx="775">
                  <c:v>-6.382810179639006</c:v>
                </c:pt>
                <c:pt idx="776">
                  <c:v>-6.395119530163524</c:v>
                </c:pt>
                <c:pt idx="777">
                  <c:v>-6.4074289067234371</c:v>
                </c:pt>
                <c:pt idx="778">
                  <c:v>-6.4197383093183573</c:v>
                </c:pt>
                <c:pt idx="779">
                  <c:v>-6.4320477379478973</c:v>
                </c:pt>
                <c:pt idx="780">
                  <c:v>-6.4443571926116698</c:v>
                </c:pt>
                <c:pt idx="781">
                  <c:v>-6.4566666733092868</c:v>
                </c:pt>
                <c:pt idx="782">
                  <c:v>-6.4689761800403609</c:v>
                </c:pt>
                <c:pt idx="783">
                  <c:v>-6.4812857128045041</c:v>
                </c:pt>
                <c:pt idx="784">
                  <c:v>-6.493595271601329</c:v>
                </c:pt>
                <c:pt idx="785">
                  <c:v>-6.5059048564304485</c:v>
                </c:pt>
                <c:pt idx="786">
                  <c:v>-6.5182144672914744</c:v>
                </c:pt>
                <c:pt idx="787">
                  <c:v>-6.5305241041840185</c:v>
                </c:pt>
                <c:pt idx="788">
                  <c:v>-6.5428337671076946</c:v>
                </c:pt>
                <c:pt idx="789">
                  <c:v>-6.5551434560621145</c:v>
                </c:pt>
                <c:pt idx="790">
                  <c:v>-6.56745317104689</c:v>
                </c:pt>
                <c:pt idx="791">
                  <c:v>-6.5797629120616339</c:v>
                </c:pt>
                <c:pt idx="792">
                  <c:v>-6.592072679105959</c:v>
                </c:pt>
                <c:pt idx="793">
                  <c:v>-6.604382472179477</c:v>
                </c:pt>
                <c:pt idx="794">
                  <c:v>-6.6166922912818009</c:v>
                </c:pt>
                <c:pt idx="795">
                  <c:v>-6.6290021364125433</c:v>
                </c:pt>
                <c:pt idx="796">
                  <c:v>-6.6413120075713161</c:v>
                </c:pt>
                <c:pt idx="797">
                  <c:v>-6.6536219047577321</c:v>
                </c:pt>
                <c:pt idx="798">
                  <c:v>-6.665931827971403</c:v>
                </c:pt>
                <c:pt idx="799">
                  <c:v>-6.6782417772119427</c:v>
                </c:pt>
                <c:pt idx="800">
                  <c:v>-6.6905517524789619</c:v>
                </c:pt>
                <c:pt idx="801">
                  <c:v>-6.7028617537720745</c:v>
                </c:pt>
                <c:pt idx="802">
                  <c:v>-6.7151717810908922</c:v>
                </c:pt>
                <c:pt idx="803">
                  <c:v>-6.7274818344350269</c:v>
                </c:pt>
                <c:pt idx="804">
                  <c:v>-6.7397919138040923</c:v>
                </c:pt>
                <c:pt idx="805">
                  <c:v>-6.7521020191977001</c:v>
                </c:pt>
                <c:pt idx="806">
                  <c:v>-6.7644121506154624</c:v>
                </c:pt>
                <c:pt idx="807">
                  <c:v>-6.7767223080569927</c:v>
                </c:pt>
                <c:pt idx="808">
                  <c:v>-6.7890324915219029</c:v>
                </c:pt>
                <c:pt idx="809">
                  <c:v>-6.8013427010098049</c:v>
                </c:pt>
                <c:pt idx="810">
                  <c:v>-6.8136529365203122</c:v>
                </c:pt>
                <c:pt idx="811">
                  <c:v>-6.8259631980530369</c:v>
                </c:pt>
                <c:pt idx="812">
                  <c:v>-6.8382734856075906</c:v>
                </c:pt>
                <c:pt idx="813">
                  <c:v>-6.8505837991835863</c:v>
                </c:pt>
                <c:pt idx="814">
                  <c:v>-6.8628941387806366</c:v>
                </c:pt>
                <c:pt idx="815">
                  <c:v>-6.8752045043983543</c:v>
                </c:pt>
                <c:pt idx="816">
                  <c:v>-6.8875148960363521</c:v>
                </c:pt>
                <c:pt idx="817">
                  <c:v>-6.899825313694242</c:v>
                </c:pt>
                <c:pt idx="818">
                  <c:v>-6.9121357573716358</c:v>
                </c:pt>
                <c:pt idx="819">
                  <c:v>-6.9244462270681471</c:v>
                </c:pt>
                <c:pt idx="820">
                  <c:v>-6.9367567227833877</c:v>
                </c:pt>
                <c:pt idx="821">
                  <c:v>-6.9490672445169706</c:v>
                </c:pt>
                <c:pt idx="822">
                  <c:v>-6.9613777922685074</c:v>
                </c:pt>
                <c:pt idx="823">
                  <c:v>-6.9736883660376119</c:v>
                </c:pt>
                <c:pt idx="824">
                  <c:v>-6.9859989658238959</c:v>
                </c:pt>
                <c:pt idx="825">
                  <c:v>-6.9983095916269722</c:v>
                </c:pt>
                <c:pt idx="826">
                  <c:v>-7.0106202434464526</c:v>
                </c:pt>
                <c:pt idx="827">
                  <c:v>-7.02293092128195</c:v>
                </c:pt>
                <c:pt idx="828">
                  <c:v>-7.0352416251330769</c:v>
                </c:pt>
                <c:pt idx="829">
                  <c:v>-7.0475523549994463</c:v>
                </c:pt>
                <c:pt idx="830">
                  <c:v>-7.05986311088067</c:v>
                </c:pt>
                <c:pt idx="831">
                  <c:v>-7.0721738927763607</c:v>
                </c:pt>
                <c:pt idx="832">
                  <c:v>-7.0844847006861311</c:v>
                </c:pt>
                <c:pt idx="833">
                  <c:v>-7.0967955346095932</c:v>
                </c:pt>
                <c:pt idx="834">
                  <c:v>-7.1091063945463606</c:v>
                </c:pt>
                <c:pt idx="835">
                  <c:v>-7.1214172804960452</c:v>
                </c:pt>
                <c:pt idx="836">
                  <c:v>-7.1337281924582596</c:v>
                </c:pt>
                <c:pt idx="837">
                  <c:v>-7.1460391304326158</c:v>
                </c:pt>
                <c:pt idx="838">
                  <c:v>-7.1583500944187275</c:v>
                </c:pt>
                <c:pt idx="839">
                  <c:v>-7.1706610844162064</c:v>
                </c:pt>
                <c:pt idx="840">
                  <c:v>-7.1829721004246645</c:v>
                </c:pt>
                <c:pt idx="841">
                  <c:v>-7.1952831424437154</c:v>
                </c:pt>
                <c:pt idx="842">
                  <c:v>-7.2075942104729709</c:v>
                </c:pt>
                <c:pt idx="843">
                  <c:v>-7.2199053045120447</c:v>
                </c:pt>
                <c:pt idx="844">
                  <c:v>-7.2322164245605487</c:v>
                </c:pt>
                <c:pt idx="845">
                  <c:v>-7.2445275706180947</c:v>
                </c:pt>
                <c:pt idx="846">
                  <c:v>-7.2568387426842964</c:v>
                </c:pt>
                <c:pt idx="847">
                  <c:v>-7.2691499407587656</c:v>
                </c:pt>
                <c:pt idx="848">
                  <c:v>-7.2814611648411152</c:v>
                </c:pt>
                <c:pt idx="849">
                  <c:v>-7.2937724149309577</c:v>
                </c:pt>
                <c:pt idx="850">
                  <c:v>-7.3060836910279061</c:v>
                </c:pt>
                <c:pt idx="851">
                  <c:v>-7.3183949931315722</c:v>
                </c:pt>
                <c:pt idx="852">
                  <c:v>-7.3307063212415686</c:v>
                </c:pt>
                <c:pt idx="853">
                  <c:v>-7.3430176753575083</c:v>
                </c:pt>
                <c:pt idx="854">
                  <c:v>-7.3553290554790038</c:v>
                </c:pt>
                <c:pt idx="855">
                  <c:v>-7.3676404616056681</c:v>
                </c:pt>
                <c:pt idx="856">
                  <c:v>-7.3799518937371138</c:v>
                </c:pt>
                <c:pt idx="857">
                  <c:v>-7.3922633518729528</c:v>
                </c:pt>
                <c:pt idx="858">
                  <c:v>-7.4045748360127979</c:v>
                </c:pt>
                <c:pt idx="859">
                  <c:v>-7.4168863461562617</c:v>
                </c:pt>
                <c:pt idx="860">
                  <c:v>-7.4291978823029572</c:v>
                </c:pt>
                <c:pt idx="861">
                  <c:v>-7.4415094444524961</c:v>
                </c:pt>
                <c:pt idx="862">
                  <c:v>-7.453821032604492</c:v>
                </c:pt>
                <c:pt idx="863">
                  <c:v>-7.4661326467585569</c:v>
                </c:pt>
                <c:pt idx="864">
                  <c:v>-7.4784442869143035</c:v>
                </c:pt>
                <c:pt idx="865">
                  <c:v>-7.4907559530713446</c:v>
                </c:pt>
                <c:pt idx="866">
                  <c:v>-7.5030676452292928</c:v>
                </c:pt>
                <c:pt idx="867">
                  <c:v>-7.515379363387761</c:v>
                </c:pt>
                <c:pt idx="868">
                  <c:v>-7.5276911075463611</c:v>
                </c:pt>
                <c:pt idx="869">
                  <c:v>-7.5400028777047066</c:v>
                </c:pt>
                <c:pt idx="870">
                  <c:v>-7.5523146738624094</c:v>
                </c:pt>
                <c:pt idx="871">
                  <c:v>-7.5646264960190823</c:v>
                </c:pt>
                <c:pt idx="872">
                  <c:v>-7.5769383441743381</c:v>
                </c:pt>
                <c:pt idx="873">
                  <c:v>-7.5892502183277895</c:v>
                </c:pt>
                <c:pt idx="874">
                  <c:v>-7.6015621184790483</c:v>
                </c:pt>
                <c:pt idx="875">
                  <c:v>-7.6138740446277282</c:v>
                </c:pt>
                <c:pt idx="876">
                  <c:v>-7.626185996773442</c:v>
                </c:pt>
                <c:pt idx="877">
                  <c:v>-7.6384979749158015</c:v>
                </c:pt>
                <c:pt idx="878">
                  <c:v>-7.6508099790544195</c:v>
                </c:pt>
                <c:pt idx="879">
                  <c:v>-7.6631220091889087</c:v>
                </c:pt>
                <c:pt idx="880">
                  <c:v>-7.6754340653188819</c:v>
                </c:pt>
                <c:pt idx="881">
                  <c:v>-7.6877461474439519</c:v>
                </c:pt>
                <c:pt idx="882">
                  <c:v>-7.7000582555637314</c:v>
                </c:pt>
                <c:pt idx="883">
                  <c:v>-7.7123703896778331</c:v>
                </c:pt>
                <c:pt idx="884">
                  <c:v>-7.7246825497858689</c:v>
                </c:pt>
                <c:pt idx="885">
                  <c:v>-7.7369947358874525</c:v>
                </c:pt>
                <c:pt idx="886">
                  <c:v>-7.7493069479821957</c:v>
                </c:pt>
                <c:pt idx="887">
                  <c:v>-7.7616191860697112</c:v>
                </c:pt>
                <c:pt idx="888">
                  <c:v>-7.7739314501496128</c:v>
                </c:pt>
                <c:pt idx="889">
                  <c:v>-7.7862437402215123</c:v>
                </c:pt>
                <c:pt idx="890">
                  <c:v>-7.7985560562850225</c:v>
                </c:pt>
                <c:pt idx="891">
                  <c:v>-7.810868398339756</c:v>
                </c:pt>
                <c:pt idx="892">
                  <c:v>-7.8231807663853257</c:v>
                </c:pt>
                <c:pt idx="893">
                  <c:v>-7.8354931604213442</c:v>
                </c:pt>
                <c:pt idx="894">
                  <c:v>-7.8478055804474236</c:v>
                </c:pt>
                <c:pt idx="895">
                  <c:v>-7.8601180264631774</c:v>
                </c:pt>
                <c:pt idx="896">
                  <c:v>-7.8724304984682183</c:v>
                </c:pt>
                <c:pt idx="897">
                  <c:v>-7.8847429964621591</c:v>
                </c:pt>
                <c:pt idx="898">
                  <c:v>-7.8970555204446118</c:v>
                </c:pt>
                <c:pt idx="899">
                  <c:v>-7.9093680704151899</c:v>
                </c:pt>
                <c:pt idx="900">
                  <c:v>-7.9216806463735052</c:v>
                </c:pt>
                <c:pt idx="901">
                  <c:v>-7.9339932483191715</c:v>
                </c:pt>
                <c:pt idx="902">
                  <c:v>-7.9463058762518006</c:v>
                </c:pt>
                <c:pt idx="903">
                  <c:v>-7.9586185301710053</c:v>
                </c:pt>
                <c:pt idx="904">
                  <c:v>-7.9709312100763992</c:v>
                </c:pt>
                <c:pt idx="905">
                  <c:v>-7.9832439159675941</c:v>
                </c:pt>
                <c:pt idx="906">
                  <c:v>-7.9955566478442028</c:v>
                </c:pt>
                <c:pt idx="907">
                  <c:v>-8.0078694057058382</c:v>
                </c:pt>
                <c:pt idx="908">
                  <c:v>-8.0201821895521128</c:v>
                </c:pt>
                <c:pt idx="909">
                  <c:v>-8.0324949993826404</c:v>
                </c:pt>
                <c:pt idx="910">
                  <c:v>-8.044807835197032</c:v>
                </c:pt>
                <c:pt idx="911">
                  <c:v>-8.0571206969949021</c:v>
                </c:pt>
                <c:pt idx="912">
                  <c:v>-8.0694335847758634</c:v>
                </c:pt>
                <c:pt idx="913">
                  <c:v>-8.0817464985395269</c:v>
                </c:pt>
                <c:pt idx="914">
                  <c:v>-8.0940594382855071</c:v>
                </c:pt>
                <c:pt idx="915">
                  <c:v>-8.1063724040134151</c:v>
                </c:pt>
                <c:pt idx="916">
                  <c:v>-8.1186853957228653</c:v>
                </c:pt>
                <c:pt idx="917">
                  <c:v>-8.1309984134134705</c:v>
                </c:pt>
                <c:pt idx="918">
                  <c:v>-8.1433114570848417</c:v>
                </c:pt>
                <c:pt idx="919">
                  <c:v>-8.1556245267365934</c:v>
                </c:pt>
                <c:pt idx="920">
                  <c:v>-8.1679376223683366</c:v>
                </c:pt>
                <c:pt idx="921">
                  <c:v>-8.1802507439796859</c:v>
                </c:pt>
                <c:pt idx="922">
                  <c:v>-8.1925638915702539</c:v>
                </c:pt>
                <c:pt idx="923">
                  <c:v>-8.2048770651396516</c:v>
                </c:pt>
                <c:pt idx="924">
                  <c:v>-8.2171902646874937</c:v>
                </c:pt>
                <c:pt idx="925">
                  <c:v>-8.2295034902133928</c:v>
                </c:pt>
                <c:pt idx="926">
                  <c:v>-8.2418167417169599</c:v>
                </c:pt>
                <c:pt idx="927">
                  <c:v>-8.2541300191978095</c:v>
                </c:pt>
                <c:pt idx="928">
                  <c:v>-8.2664433226555545</c:v>
                </c:pt>
                <c:pt idx="929">
                  <c:v>-8.2787566520898057</c:v>
                </c:pt>
                <c:pt idx="930">
                  <c:v>-8.2910700075001778</c:v>
                </c:pt>
                <c:pt idx="931">
                  <c:v>-8.3033833888862834</c:v>
                </c:pt>
                <c:pt idx="932">
                  <c:v>-8.3156967962477353</c:v>
                </c:pt>
                <c:pt idx="933">
                  <c:v>-8.3280102295841463</c:v>
                </c:pt>
                <c:pt idx="934">
                  <c:v>-8.3403236888951291</c:v>
                </c:pt>
                <c:pt idx="935">
                  <c:v>-8.3526371741802947</c:v>
                </c:pt>
                <c:pt idx="936">
                  <c:v>-8.3649506854392577</c:v>
                </c:pt>
                <c:pt idx="937">
                  <c:v>-8.3772642226716307</c:v>
                </c:pt>
                <c:pt idx="938">
                  <c:v>-8.3895777858770266</c:v>
                </c:pt>
                <c:pt idx="939">
                  <c:v>-8.4018913750550581</c:v>
                </c:pt>
                <c:pt idx="940">
                  <c:v>-8.4142049902053397</c:v>
                </c:pt>
                <c:pt idx="941">
                  <c:v>-8.4265186313274825</c:v>
                </c:pt>
                <c:pt idx="942">
                  <c:v>-8.4388322984210991</c:v>
                </c:pt>
                <c:pt idx="943">
                  <c:v>-8.4511459914858023</c:v>
                </c:pt>
                <c:pt idx="944">
                  <c:v>-8.4634597105212048</c:v>
                </c:pt>
                <c:pt idx="945">
                  <c:v>-8.4757734555269213</c:v>
                </c:pt>
                <c:pt idx="946">
                  <c:v>-8.4880872265025626</c:v>
                </c:pt>
                <c:pt idx="947">
                  <c:v>-8.5004010234477434</c:v>
                </c:pt>
                <c:pt idx="948">
                  <c:v>-8.5127148463620745</c:v>
                </c:pt>
                <c:pt idx="949">
                  <c:v>-8.5250286952451706</c:v>
                </c:pt>
                <c:pt idx="950">
                  <c:v>-8.5373425700966425</c:v>
                </c:pt>
                <c:pt idx="951">
                  <c:v>-8.5496564709161049</c:v>
                </c:pt>
                <c:pt idx="952">
                  <c:v>-8.5619703977031705</c:v>
                </c:pt>
                <c:pt idx="953">
                  <c:v>-8.5742843504574502</c:v>
                </c:pt>
                <c:pt idx="954">
                  <c:v>-8.5865983291785586</c:v>
                </c:pt>
                <c:pt idx="955">
                  <c:v>-8.5989123338661084</c:v>
                </c:pt>
                <c:pt idx="956">
                  <c:v>-8.6112263645197125</c:v>
                </c:pt>
                <c:pt idx="957">
                  <c:v>-8.6235404211389834</c:v>
                </c:pt>
                <c:pt idx="958">
                  <c:v>-8.6358545037235341</c:v>
                </c:pt>
                <c:pt idx="959">
                  <c:v>-8.6481686122729773</c:v>
                </c:pt>
                <c:pt idx="960">
                  <c:v>-8.6604827467869274</c:v>
                </c:pt>
                <c:pt idx="961">
                  <c:v>-8.6727969072649955</c:v>
                </c:pt>
                <c:pt idx="962">
                  <c:v>-8.6851110937067943</c:v>
                </c:pt>
                <c:pt idx="963">
                  <c:v>-8.6974253061119384</c:v>
                </c:pt>
                <c:pt idx="964">
                  <c:v>-8.7097395444800387</c:v>
                </c:pt>
                <c:pt idx="965">
                  <c:v>-8.7220538088107098</c:v>
                </c:pt>
                <c:pt idx="966">
                  <c:v>-8.7343680991035644</c:v>
                </c:pt>
                <c:pt idx="967">
                  <c:v>-8.7466824153582134</c:v>
                </c:pt>
                <c:pt idx="968">
                  <c:v>-8.7589967575742715</c:v>
                </c:pt>
                <c:pt idx="969">
                  <c:v>-8.7713111257513514</c:v>
                </c:pt>
                <c:pt idx="970">
                  <c:v>-8.7836255198890658</c:v>
                </c:pt>
                <c:pt idx="971">
                  <c:v>-8.7959399399870275</c:v>
                </c:pt>
                <c:pt idx="972">
                  <c:v>-8.8082543860448492</c:v>
                </c:pt>
                <c:pt idx="973">
                  <c:v>-8.8205688580621455</c:v>
                </c:pt>
                <c:pt idx="974">
                  <c:v>-8.8328833560385274</c:v>
                </c:pt>
                <c:pt idx="975">
                  <c:v>-8.8451978799736093</c:v>
                </c:pt>
                <c:pt idx="976">
                  <c:v>-8.8575124298670023</c:v>
                </c:pt>
                <c:pt idx="977">
                  <c:v>-8.8698270057183208</c:v>
                </c:pt>
                <c:pt idx="978">
                  <c:v>-8.8821416075271777</c:v>
                </c:pt>
                <c:pt idx="979">
                  <c:v>-8.8944562352931857</c:v>
                </c:pt>
                <c:pt idx="980">
                  <c:v>-8.9067708890159576</c:v>
                </c:pt>
                <c:pt idx="981">
                  <c:v>-8.919085568695106</c:v>
                </c:pt>
                <c:pt idx="982">
                  <c:v>-8.9314002743302439</c:v>
                </c:pt>
                <c:pt idx="983">
                  <c:v>-8.9437150059209838</c:v>
                </c:pt>
                <c:pt idx="984">
                  <c:v>-8.9560297634669404</c:v>
                </c:pt>
                <c:pt idx="985">
                  <c:v>-8.9683445469677245</c:v>
                </c:pt>
                <c:pt idx="986">
                  <c:v>-8.9806593564229509</c:v>
                </c:pt>
                <c:pt idx="987">
                  <c:v>-8.9929741918322321</c:v>
                </c:pt>
                <c:pt idx="988">
                  <c:v>-9.005289053195181</c:v>
                </c:pt>
                <c:pt idx="989">
                  <c:v>-9.0176039405114103</c:v>
                </c:pt>
                <c:pt idx="990">
                  <c:v>-9.0299188537805328</c:v>
                </c:pt>
                <c:pt idx="991">
                  <c:v>-9.0422337930021612</c:v>
                </c:pt>
                <c:pt idx="992">
                  <c:v>-9.0545487581759083</c:v>
                </c:pt>
                <c:pt idx="993">
                  <c:v>-9.0668637493013886</c:v>
                </c:pt>
                <c:pt idx="994">
                  <c:v>-9.0791787663782131</c:v>
                </c:pt>
                <c:pt idx="995">
                  <c:v>-9.0914938094059963</c:v>
                </c:pt>
                <c:pt idx="996">
                  <c:v>-9.1038088783843509</c:v>
                </c:pt>
                <c:pt idx="997">
                  <c:v>-9.1161239733128898</c:v>
                </c:pt>
                <c:pt idx="998">
                  <c:v>-9.1284390941912257</c:v>
                </c:pt>
                <c:pt idx="999">
                  <c:v>-9.1407542410189713</c:v>
                </c:pt>
                <c:pt idx="1000">
                  <c:v>-9.1530694137957411</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1.5273854005705694E-4</c:v>
                </c:pt>
                <c:pt idx="2">
                  <c:v>1.2696914437625936E-3</c:v>
                </c:pt>
                <c:pt idx="3">
                  <c:v>4.4110278842786777E-3</c:v>
                </c:pt>
                <c:pt idx="4">
                  <c:v>9.9362335628061411E-3</c:v>
                </c:pt>
                <c:pt idx="5">
                  <c:v>1.7761314088600405E-2</c:v>
                </c:pt>
                <c:pt idx="6">
                  <c:v>2.7827737950922075E-2</c:v>
                </c:pt>
                <c:pt idx="7">
                  <c:v>4.0128173392675132E-2</c:v>
                </c:pt>
                <c:pt idx="8">
                  <c:v>5.4680929117226572E-2</c:v>
                </c:pt>
                <c:pt idx="9">
                  <c:v>7.150432487106842E-2</c:v>
                </c:pt>
                <c:pt idx="10">
                  <c:v>9.0616691124344659E-2</c:v>
                </c:pt>
                <c:pt idx="11">
                  <c:v>0.11203370511302652</c:v>
                </c:pt>
                <c:pt idx="12">
                  <c:v>0.13576571961490921</c:v>
                </c:pt>
                <c:pt idx="13">
                  <c:v>0.16182041552888118</c:v>
                </c:pt>
                <c:pt idx="14">
                  <c:v>0.19020546176004227</c:v>
                </c:pt>
                <c:pt idx="15">
                  <c:v>0.22092851497627636</c:v>
                </c:pt>
                <c:pt idx="16">
                  <c:v>0.25399721936396169</c:v>
                </c:pt>
                <c:pt idx="17">
                  <c:v>0.28941920638283469</c:v>
                </c:pt>
                <c:pt idx="18">
                  <c:v>0.32720209452002352</c:v>
                </c:pt>
                <c:pt idx="19">
                  <c:v>0.3673534890432677</c:v>
                </c:pt>
                <c:pt idx="20">
                  <c:v>0.40988098175334087</c:v>
                </c:pt>
                <c:pt idx="21">
                  <c:v>0.45479108152915937</c:v>
                </c:pt>
                <c:pt idx="22">
                  <c:v>0.5020881420071035</c:v>
                </c:pt>
                <c:pt idx="23">
                  <c:v>0.55177542639432053</c:v>
                </c:pt>
                <c:pt idx="24">
                  <c:v>0.60385617519710821</c:v>
                </c:pt>
                <c:pt idx="25">
                  <c:v>0.65833360607187441</c:v>
                </c:pt>
                <c:pt idx="26">
                  <c:v>0.71521091367679623</c:v>
                </c:pt>
                <c:pt idx="27">
                  <c:v>0.77457521122985118</c:v>
                </c:pt>
                <c:pt idx="28">
                  <c:v>0.83651709727039647</c:v>
                </c:pt>
                <c:pt idx="29">
                  <c:v>0.90104665771487036</c:v>
                </c:pt>
                <c:pt idx="30">
                  <c:v>0.96817378816524302</c:v>
                </c:pt>
                <c:pt idx="31">
                  <c:v>1.0379081467387299</c:v>
                </c:pt>
                <c:pt idx="32">
                  <c:v>1.1102591682103027</c:v>
                </c:pt>
                <c:pt idx="33">
                  <c:v>1.1852360767476562</c:v>
                </c:pt>
                <c:pt idx="34">
                  <c:v>1.2628478974175996</c:v>
                </c:pt>
                <c:pt idx="35">
                  <c:v>1.3431034666152477</c:v>
                </c:pt>
                <c:pt idx="36">
                  <c:v>1.4260114415447558</c:v>
                </c:pt>
                <c:pt idx="37">
                  <c:v>1.5115803088616588</c:v>
                </c:pt>
                <c:pt idx="38">
                  <c:v>1.5998183925713556</c:v>
                </c:pt>
                <c:pt idx="39">
                  <c:v>1.6907338612653215</c:v>
                </c:pt>
                <c:pt idx="40">
                  <c:v>1.784334734765751</c:v>
                </c:pt>
                <c:pt idx="41">
                  <c:v>1.8806280307923873</c:v>
                </c:pt>
                <c:pt idx="42">
                  <c:v>1.9796189044622245</c:v>
                </c:pt>
                <c:pt idx="43">
                  <c:v>2.0813115041369881</c:v>
                </c:pt>
                <c:pt idx="44">
                  <c:v>2.1857098338846024</c:v>
                </c:pt>
                <c:pt idx="45">
                  <c:v>2.2928177585509801</c:v>
                </c:pt>
                <c:pt idx="46">
                  <c:v>2.4026390084747908</c:v>
                </c:pt>
                <c:pt idx="47">
                  <c:v>2.5151771838780768</c:v>
                </c:pt>
                <c:pt idx="48">
                  <c:v>2.6304357589619025</c:v>
                </c:pt>
                <c:pt idx="49">
                  <c:v>2.7484180857330265</c:v>
                </c:pt>
                <c:pt idx="50">
                  <c:v>2.8691273975848004</c:v>
                </c:pt>
                <c:pt idx="51">
                  <c:v>2.992566812653064</c:v>
                </c:pt>
                <c:pt idx="52">
                  <c:v>3.1187393369656702</c:v>
                </c:pt>
                <c:pt idx="53">
                  <c:v>3.2476478674024039</c:v>
                </c:pt>
                <c:pt idx="54">
                  <c:v>3.3792951944803988</c:v>
                </c:pt>
                <c:pt idx="55">
                  <c:v>3.5136840049787041</c:v>
                </c:pt>
                <c:pt idx="56">
                  <c:v>3.6508168844143465</c:v>
                </c:pt>
                <c:pt idx="57">
                  <c:v>3.7906963193810967</c:v>
                </c:pt>
                <c:pt idx="58">
                  <c:v>3.9333246997611155</c:v>
                </c:pt>
                <c:pt idx="59">
                  <c:v>4.0787043208187512</c:v>
                </c:pt>
                <c:pt idx="60">
                  <c:v>4.2268373851849335</c:v>
                </c:pt>
                <c:pt idx="61">
                  <c:v>4.3777260047398858</c:v>
                </c:pt>
                <c:pt idx="62">
                  <c:v>4.5313722024012169</c:v>
                </c:pt>
                <c:pt idx="63">
                  <c:v>4.6877779138238651</c:v>
                </c:pt>
                <c:pt idx="64">
                  <c:v>4.8469449890178353</c:v>
                </c:pt>
                <c:pt idx="65">
                  <c:v>5.0088751938891827</c:v>
                </c:pt>
                <c:pt idx="66">
                  <c:v>5.1735702117092712</c:v>
                </c:pt>
                <c:pt idx="67">
                  <c:v>5.3410316445169403</c:v>
                </c:pt>
                <c:pt idx="68">
                  <c:v>5.5112610144578458</c:v>
                </c:pt>
                <c:pt idx="69">
                  <c:v>5.684259765064926</c:v>
                </c:pt>
                <c:pt idx="70">
                  <c:v>5.8600292624836543</c:v>
                </c:pt>
                <c:pt idx="71">
                  <c:v>6.0385707966454483</c:v>
                </c:pt>
                <c:pt idx="72">
                  <c:v>6.2198855823923838</c:v>
                </c:pt>
                <c:pt idx="73">
                  <c:v>6.403974760556121</c:v>
                </c:pt>
                <c:pt idx="74">
                  <c:v>6.590839398993757</c:v>
                </c:pt>
                <c:pt idx="75">
                  <c:v>6.7804804935831138</c:v>
                </c:pt>
                <c:pt idx="76">
                  <c:v>6.9728989691798162</c:v>
                </c:pt>
                <c:pt idx="77">
                  <c:v>7.1680956805383431</c:v>
                </c:pt>
                <c:pt idx="78">
                  <c:v>7.3660714131990916</c:v>
                </c:pt>
                <c:pt idx="79">
                  <c:v>7.5668268843433601</c:v>
                </c:pt>
                <c:pt idx="80">
                  <c:v>7.7703627436180378</c:v>
                </c:pt>
                <c:pt idx="81">
                  <c:v>7.9766786545424084</c:v>
                </c:pt>
                <c:pt idx="82">
                  <c:v>8.1857723716531172</c:v>
                </c:pt>
                <c:pt idx="83">
                  <c:v>8.3976406552560441</c:v>
                </c:pt>
                <c:pt idx="84">
                  <c:v>8.6122801905307647</c:v>
                </c:pt>
                <c:pt idx="85">
                  <c:v>8.8296875885081434</c:v>
                </c:pt>
                <c:pt idx="86">
                  <c:v>9.0498593870209536</c:v>
                </c:pt>
                <c:pt idx="87">
                  <c:v>9.272792051628965</c:v>
                </c:pt>
                <c:pt idx="88">
                  <c:v>9.4984819765198605</c:v>
                </c:pt>
                <c:pt idx="89">
                  <c:v>9.7269254853872322</c:v>
                </c:pt>
                <c:pt idx="90">
                  <c:v>9.9581188322868694</c:v>
                </c:pt>
                <c:pt idx="91">
                  <c:v>10.192057792553406</c:v>
                </c:pt>
                <c:pt idx="92">
                  <c:v>10.42873725199834</c:v>
                </c:pt>
                <c:pt idx="93">
                  <c:v>10.668151615515839</c:v>
                </c:pt>
                <c:pt idx="94">
                  <c:v>10.910295217429958</c:v>
                </c:pt>
                <c:pt idx="95">
                  <c:v>11.155162322376789</c:v>
                </c:pt>
                <c:pt idx="96">
                  <c:v>11.402747126168892</c:v>
                </c:pt>
                <c:pt idx="97">
                  <c:v>11.653043756642871</c:v>
                </c:pt>
                <c:pt idx="98">
                  <c:v>11.906046274490908</c:v>
                </c:pt>
                <c:pt idx="99">
                  <c:v>12.161748674077016</c:v>
                </c:pt>
                <c:pt idx="100">
                  <c:v>12.420144884238734</c:v>
                </c:pt>
                <c:pt idx="101">
                  <c:v>12.681228702968578</c:v>
                </c:pt>
                <c:pt idx="102">
                  <c:v>12.944993731835435</c:v>
                </c:pt>
                <c:pt idx="103">
                  <c:v>13.211433442554696</c:v>
                </c:pt>
                <c:pt idx="104">
                  <c:v>13.480541243802177</c:v>
                </c:pt>
                <c:pt idx="105">
                  <c:v>13.752310481970445</c:v>
                </c:pt>
                <c:pt idx="106">
                  <c:v>14.026734441913923</c:v>
                </c:pt>
                <c:pt idx="107">
                  <c:v>14.30380634768323</c:v>
                </c:pt>
                <c:pt idx="108">
                  <c:v>14.583519363249245</c:v>
                </c:pt>
                <c:pt idx="109">
                  <c:v>14.865866593217326</c:v>
                </c:pt>
                <c:pt idx="110">
                  <c:v>15.150841083532084</c:v>
                </c:pt>
                <c:pt idx="111">
                  <c:v>15.438436589028203</c:v>
                </c:pt>
                <c:pt idx="112">
                  <c:v>15.728648343557349</c:v>
                </c:pt>
                <c:pt idx="113">
                  <c:v>16.021472296834158</c:v>
                </c:pt>
                <c:pt idx="114">
                  <c:v>16.31690434859501</c:v>
                </c:pt>
                <c:pt idx="115">
                  <c:v>16.614940349073159</c:v>
                </c:pt>
                <c:pt idx="116">
                  <c:v>16.915576099468431</c:v>
                </c:pt>
                <c:pt idx="117">
                  <c:v>17.218807352411712</c:v>
                </c:pt>
                <c:pt idx="118">
                  <c:v>17.524629812424415</c:v>
                </c:pt>
                <c:pt idx="119">
                  <c:v>17.83303913637317</c:v>
                </c:pt>
                <c:pt idx="120">
                  <c:v>18.1440309339199</c:v>
                </c:pt>
                <c:pt idx="121">
                  <c:v>18.457599487191622</c:v>
                </c:pt>
                <c:pt idx="122">
                  <c:v>18.773736466518649</c:v>
                </c:pt>
                <c:pt idx="123">
                  <c:v>19.092432207232353</c:v>
                </c:pt>
                <c:pt idx="124">
                  <c:v>19.413676990539535</c:v>
                </c:pt>
                <c:pt idx="125">
                  <c:v>19.73746104425695</c:v>
                </c:pt>
                <c:pt idx="126">
                  <c:v>20.063774543539331</c:v>
                </c:pt>
                <c:pt idx="127">
                  <c:v>20.392607611601061</c:v>
                </c:pt>
                <c:pt idx="128">
                  <c:v>20.723950320431712</c:v>
                </c:pt>
                <c:pt idx="129">
                  <c:v>21.0577926915056</c:v>
                </c:pt>
                <c:pt idx="130">
                  <c:v>21.394124696485544</c:v>
                </c:pt>
                <c:pt idx="131">
                  <c:v>21.732935920435683</c:v>
                </c:pt>
                <c:pt idx="132">
                  <c:v>22.074215224106698</c:v>
                </c:pt>
                <c:pt idx="133">
                  <c:v>22.417951081129061</c:v>
                </c:pt>
                <c:pt idx="134">
                  <c:v>22.764131916164267</c:v>
                </c:pt>
                <c:pt idx="135">
                  <c:v>23.112746105663522</c:v>
                </c:pt>
                <c:pt idx="136">
                  <c:v>23.463781978620645</c:v>
                </c:pt>
                <c:pt idx="137">
                  <c:v>23.817227817319242</c:v>
                </c:pt>
                <c:pt idx="138">
                  <c:v>24.173071858074316</c:v>
                </c:pt>
                <c:pt idx="139">
                  <c:v>24.531302291968359</c:v>
                </c:pt>
                <c:pt idx="140">
                  <c:v>24.891907265582098</c:v>
                </c:pt>
                <c:pt idx="141">
                  <c:v>25.254870821978468</c:v>
                </c:pt>
                <c:pt idx="142">
                  <c:v>25.620168831954103</c:v>
                </c:pt>
                <c:pt idx="143">
                  <c:v>25.987773044997176</c:v>
                </c:pt>
                <c:pt idx="144">
                  <c:v>26.357655150537674</c:v>
                </c:pt>
                <c:pt idx="145">
                  <c:v>26.729786779785776</c:v>
                </c:pt>
                <c:pt idx="146">
                  <c:v>27.104139507551075</c:v>
                </c:pt>
                <c:pt idx="147">
                  <c:v>27.480684854042789</c:v>
                </c:pt>
                <c:pt idx="148">
                  <c:v>27.859394286651025</c:v>
                </c:pt>
                <c:pt idx="149">
                  <c:v>28.240239221709238</c:v>
                </c:pt>
                <c:pt idx="150">
                  <c:v>28.623191026237951</c:v>
                </c:pt>
                <c:pt idx="151">
                  <c:v>29.008221019669787</c:v>
                </c:pt>
                <c:pt idx="152">
                  <c:v>29.395300475555949</c:v>
                </c:pt>
                <c:pt idx="153">
                  <c:v>29.784400623254133</c:v>
                </c:pt>
                <c:pt idx="154">
                  <c:v>30.175492649597981</c:v>
                </c:pt>
                <c:pt idx="155">
                  <c:v>30.568547700548109</c:v>
                </c:pt>
                <c:pt idx="156">
                  <c:v>30.963517494337438</c:v>
                </c:pt>
                <c:pt idx="157">
                  <c:v>31.360314903095308</c:v>
                </c:pt>
                <c:pt idx="158">
                  <c:v>31.758833322833102</c:v>
                </c:pt>
                <c:pt idx="159">
                  <c:v>32.158966079906357</c:v>
                </c:pt>
                <c:pt idx="160">
                  <c:v>32.560606442458557</c:v>
                </c:pt>
                <c:pt idx="161">
                  <c:v>32.963622917995217</c:v>
                </c:pt>
                <c:pt idx="162">
                  <c:v>33.367834529864389</c:v>
                </c:pt>
                <c:pt idx="163">
                  <c:v>33.773037907820559</c:v>
                </c:pt>
                <c:pt idx="164">
                  <c:v>34.179034412096776</c:v>
                </c:pt>
                <c:pt idx="165">
                  <c:v>34.585651461062469</c:v>
                </c:pt>
                <c:pt idx="166">
                  <c:v>34.992763856948592</c:v>
                </c:pt>
                <c:pt idx="167">
                  <c:v>35.400252124604975</c:v>
                </c:pt>
                <c:pt idx="168">
                  <c:v>35.807973870714484</c:v>
                </c:pt>
                <c:pt idx="169">
                  <c:v>36.215744600184266</c:v>
                </c:pt>
                <c:pt idx="170">
                  <c:v>36.623331611297843</c:v>
                </c:pt>
                <c:pt idx="171">
                  <c:v>37.030571947081697</c:v>
                </c:pt>
                <c:pt idx="172">
                  <c:v>37.437425022746119</c:v>
                </c:pt>
                <c:pt idx="173">
                  <c:v>37.843891833507712</c:v>
                </c:pt>
                <c:pt idx="174">
                  <c:v>38.249973370979447</c:v>
                </c:pt>
                <c:pt idx="175">
                  <c:v>38.65567062318847</c:v>
                </c:pt>
                <c:pt idx="176">
                  <c:v>39.06098457459381</c:v>
                </c:pt>
                <c:pt idx="177">
                  <c:v>39.465916206103991</c:v>
                </c:pt>
                <c:pt idx="178">
                  <c:v>39.870466495094497</c:v>
                </c:pt>
                <c:pt idx="179">
                  <c:v>40.274636415425185</c:v>
                </c:pt>
                <c:pt idx="180">
                  <c:v>40.678426937457537</c:v>
                </c:pt>
                <c:pt idx="181">
                  <c:v>41.081839028071833</c:v>
                </c:pt>
                <c:pt idx="182">
                  <c:v>41.484873650684214</c:v>
                </c:pt>
                <c:pt idx="183">
                  <c:v>41.887531765263653</c:v>
                </c:pt>
                <c:pt idx="184">
                  <c:v>42.289814328348783</c:v>
                </c:pt>
                <c:pt idx="185">
                  <c:v>42.691722293064672</c:v>
                </c:pt>
                <c:pt idx="186">
                  <c:v>43.093256609139459</c:v>
                </c:pt>
                <c:pt idx="187">
                  <c:v>43.494418222920906</c:v>
                </c:pt>
                <c:pt idx="188">
                  <c:v>43.895208077392844</c:v>
                </c:pt>
                <c:pt idx="189">
                  <c:v>44.295627112191504</c:v>
                </c:pt>
                <c:pt idx="190">
                  <c:v>44.695676263621785</c:v>
                </c:pt>
                <c:pt idx="191">
                  <c:v>45.095356464673387</c:v>
                </c:pt>
                <c:pt idx="192">
                  <c:v>45.49466864503686</c:v>
                </c:pt>
                <c:pt idx="193">
                  <c:v>45.893613731119572</c:v>
                </c:pt>
                <c:pt idx="194">
                  <c:v>46.29219264606153</c:v>
                </c:pt>
                <c:pt idx="195">
                  <c:v>46.690406309751175</c:v>
                </c:pt>
                <c:pt idx="196">
                  <c:v>47.088255638841034</c:v>
                </c:pt>
                <c:pt idx="197">
                  <c:v>47.485741546763272</c:v>
                </c:pt>
                <c:pt idx="198">
                  <c:v>47.882864943745197</c:v>
                </c:pt>
                <c:pt idx="199">
                  <c:v>48.279626736824618</c:v>
                </c:pt>
                <c:pt idx="200">
                  <c:v>48.676027829865149</c:v>
                </c:pt>
                <c:pt idx="201">
                  <c:v>52.620270027285272</c:v>
                </c:pt>
                <c:pt idx="202">
                  <c:v>56.529022232688696</c:v>
                </c:pt>
                <c:pt idx="203">
                  <c:v>60.403159147599432</c:v>
                </c:pt>
                <c:pt idx="204">
                  <c:v>64.243525647747944</c:v>
                </c:pt>
                <c:pt idx="205">
                  <c:v>68.050938164023961</c:v>
                </c:pt>
                <c:pt idx="206">
                  <c:v>71.826185984073646</c:v>
                </c:pt>
                <c:pt idx="207">
                  <c:v>75.570032479984334</c:v>
                </c:pt>
                <c:pt idx="208">
                  <c:v>79.283216267067232</c:v>
                </c:pt>
                <c:pt idx="209">
                  <c:v>82.966452298355151</c:v>
                </c:pt>
                <c:pt idx="210">
                  <c:v>86.620432899073691</c:v>
                </c:pt>
                <c:pt idx="211">
                  <c:v>90.245828745017533</c:v>
                </c:pt>
                <c:pt idx="212">
                  <c:v>93.843289788464773</c:v>
                </c:pt>
                <c:pt idx="213">
                  <c:v>97.413446134989698</c:v>
                </c:pt>
                <c:pt idx="214">
                  <c:v>100.95690887428468</c:v>
                </c:pt>
                <c:pt idx="215">
                  <c:v>104.47427086787334</c:v>
                </c:pt>
                <c:pt idx="216">
                  <c:v>107.96610749638775</c:v>
                </c:pt>
                <c:pt idx="217">
                  <c:v>111.43297736889001</c:v>
                </c:pt>
                <c:pt idx="218">
                  <c:v>114.87542299654226</c:v>
                </c:pt>
                <c:pt idx="219">
                  <c:v>118.2939714327666</c:v>
                </c:pt>
                <c:pt idx="220">
                  <c:v>121.68913488188734</c:v>
                </c:pt>
                <c:pt idx="221">
                  <c:v>125.06141127811023</c:v>
                </c:pt>
                <c:pt idx="222">
                  <c:v>128.41128483656678</c:v>
                </c:pt>
                <c:pt idx="223">
                  <c:v>131.73922657803473</c:v>
                </c:pt>
                <c:pt idx="224">
                  <c:v>135.04569482883775</c:v>
                </c:pt>
                <c:pt idx="225">
                  <c:v>138.33113569732791</c:v>
                </c:pt>
                <c:pt idx="226">
                  <c:v>141.5959835282618</c:v>
                </c:pt>
                <c:pt idx="227">
                  <c:v>144.84066133629622</c:v>
                </c:pt>
                <c:pt idx="228">
                  <c:v>148.06558121975013</c:v>
                </c:pt>
                <c:pt idx="229">
                  <c:v>151.27114475570616</c:v>
                </c:pt>
                <c:pt idx="230">
                  <c:v>154.45774337745706</c:v>
                </c:pt>
                <c:pt idx="231">
                  <c:v>157.62575873523937</c:v>
                </c:pt>
                <c:pt idx="232">
                  <c:v>160.77556304113813</c:v>
                </c:pt>
                <c:pt idx="233">
                  <c:v>163.90751939899133</c:v>
                </c:pt>
                <c:pt idx="234">
                  <c:v>167.02198212007312</c:v>
                </c:pt>
                <c:pt idx="235">
                  <c:v>170.1192970252865</c:v>
                </c:pt>
                <c:pt idx="236">
                  <c:v>173.19980173455298</c:v>
                </c:pt>
                <c:pt idx="237">
                  <c:v>176.26382594404552</c:v>
                </c:pt>
                <c:pt idx="238">
                  <c:v>179.31169169187271</c:v>
                </c:pt>
                <c:pt idx="239">
                  <c:v>182.34371361278644</c:v>
                </c:pt>
                <c:pt idx="240">
                  <c:v>185.36019918245233</c:v>
                </c:pt>
                <c:pt idx="241">
                  <c:v>188.36144895179044</c:v>
                </c:pt>
                <c:pt idx="242">
                  <c:v>191.34775677186531</c:v>
                </c:pt>
                <c:pt idx="243">
                  <c:v>194.31941000977648</c:v>
                </c:pt>
                <c:pt idx="244">
                  <c:v>197.2766897559755</c:v>
                </c:pt>
                <c:pt idx="245">
                  <c:v>200.2198710234114</c:v>
                </c:pt>
                <c:pt idx="246">
                  <c:v>203.14922293888415</c:v>
                </c:pt>
                <c:pt idx="247">
                  <c:v>206.06500892696437</c:v>
                </c:pt>
                <c:pt idx="248">
                  <c:v>208.96748688681828</c:v>
                </c:pt>
                <c:pt idx="249">
                  <c:v>211.85690936225765</c:v>
                </c:pt>
                <c:pt idx="250">
                  <c:v>214.73352370531754</c:v>
                </c:pt>
                <c:pt idx="251">
                  <c:v>217.59757223364798</c:v>
                </c:pt>
                <c:pt idx="252">
                  <c:v>220.4492923819902</c:v>
                </c:pt>
                <c:pt idx="253">
                  <c:v>223.28891684799351</c:v>
                </c:pt>
                <c:pt idx="254">
                  <c:v>226.1166737326152</c:v>
                </c:pt>
                <c:pt idx="255">
                  <c:v>228.93278667533275</c:v>
                </c:pt>
                <c:pt idx="256">
                  <c:v>231.73747498438541</c:v>
                </c:pt>
                <c:pt idx="257">
                  <c:v>234.53095376225056</c:v>
                </c:pt>
                <c:pt idx="258">
                  <c:v>237.31343402654929</c:v>
                </c:pt>
                <c:pt idx="259">
                  <c:v>240.08512282656531</c:v>
                </c:pt>
                <c:pt idx="260">
                  <c:v>242.84622335555144</c:v>
                </c:pt>
                <c:pt idx="261">
                  <c:v>245.59693505898809</c:v>
                </c:pt>
                <c:pt idx="262">
                  <c:v>248.3374537389501</c:v>
                </c:pt>
                <c:pt idx="263">
                  <c:v>251.06797165472886</c:v>
                </c:pt>
                <c:pt idx="264">
                  <c:v>253.78867761984941</c:v>
                </c:pt>
                <c:pt idx="265">
                  <c:v>256.49975709561357</c:v>
                </c:pt>
                <c:pt idx="266">
                  <c:v>259.20139228129369</c:v>
                </c:pt>
                <c:pt idx="267">
                  <c:v>261.89376220109381</c:v>
                </c:pt>
                <c:pt idx="268">
                  <c:v>264.57704278798849</c:v>
                </c:pt>
                <c:pt idx="269">
                  <c:v>267.25140696454287</c:v>
                </c:pt>
                <c:pt idx="270">
                  <c:v>269.91702472081158</c:v>
                </c:pt>
                <c:pt idx="271">
                  <c:v>272.57406318940741</c:v>
                </c:pt>
                <c:pt idx="272">
                  <c:v>275.22268671782501</c:v>
                </c:pt>
                <c:pt idx="273">
                  <c:v>277.86305693809931</c:v>
                </c:pt>
                <c:pt idx="274">
                  <c:v>280.49533283387211</c:v>
                </c:pt>
                <c:pt idx="275">
                  <c:v>283.11967080493548</c:v>
                </c:pt>
                <c:pt idx="276">
                  <c:v>285.73622472931447</c:v>
                </c:pt>
                <c:pt idx="277">
                  <c:v>288.34514602294695</c:v>
                </c:pt>
                <c:pt idx="278">
                  <c:v>290.94658369701233</c:v>
                </c:pt>
                <c:pt idx="279">
                  <c:v>293.54068441295613</c:v>
                </c:pt>
                <c:pt idx="280">
                  <c:v>296.12759253525223</c:v>
                </c:pt>
                <c:pt idx="281">
                  <c:v>298.70745018193821</c:v>
                </c:pt>
                <c:pt idx="282">
                  <c:v>301.28039727295561</c:v>
                </c:pt>
                <c:pt idx="283">
                  <c:v>303.84657157631977</c:v>
                </c:pt>
                <c:pt idx="284">
                  <c:v>306.4061087521394</c:v>
                </c:pt>
                <c:pt idx="285">
                  <c:v>308.95914239449985</c:v>
                </c:pt>
                <c:pt idx="286">
                  <c:v>311.50580407121896</c:v>
                </c:pt>
                <c:pt idx="287">
                  <c:v>314.0462233614773</c:v>
                </c:pt>
                <c:pt idx="288">
                  <c:v>316.58052789131949</c:v>
                </c:pt>
                <c:pt idx="289">
                  <c:v>319.10884336701588</c:v>
                </c:pt>
                <c:pt idx="290">
                  <c:v>321.63129360626812</c:v>
                </c:pt>
                <c:pt idx="291">
                  <c:v>324.14800056723459</c:v>
                </c:pt>
                <c:pt idx="292">
                  <c:v>326.65908437534398</c:v>
                </c:pt>
                <c:pt idx="293">
                  <c:v>329.16466334785866</c:v>
                </c:pt>
                <c:pt idx="294">
                  <c:v>331.66485401614057</c:v>
                </c:pt>
                <c:pt idx="295">
                  <c:v>334.15977114556364</c:v>
                </c:pt>
                <c:pt idx="296">
                  <c:v>336.64952775300884</c:v>
                </c:pt>
                <c:pt idx="297">
                  <c:v>339.13423512186756</c:v>
                </c:pt>
                <c:pt idx="298">
                  <c:v>341.61400281446936</c:v>
                </c:pt>
                <c:pt idx="299">
                  <c:v>344.08893868183992</c:v>
                </c:pt>
                <c:pt idx="300">
                  <c:v>346.55914887068394</c:v>
                </c:pt>
                <c:pt idx="301">
                  <c:v>349.02473782747654</c:v>
                </c:pt>
                <c:pt idx="302">
                  <c:v>351.48580829953448</c:v>
                </c:pt>
                <c:pt idx="303">
                  <c:v>353.94246133292717</c:v>
                </c:pt>
                <c:pt idx="304">
                  <c:v>356.39479626707396</c:v>
                </c:pt>
                <c:pt idx="305">
                  <c:v>358.84291072586268</c:v>
                </c:pt>
                <c:pt idx="306">
                  <c:v>361.28690060511138</c:v>
                </c:pt>
                <c:pt idx="307">
                  <c:v>363.72686005618323</c:v>
                </c:pt>
                <c:pt idx="308">
                  <c:v>366.16288146555263</c:v>
                </c:pt>
                <c:pt idx="309">
                  <c:v>368.59505543011136</c:v>
                </c:pt>
                <c:pt idx="310">
                  <c:v>371.0234707279937</c:v>
                </c:pt>
                <c:pt idx="311">
                  <c:v>373.44821428469322</c:v>
                </c:pt>
                <c:pt idx="312">
                  <c:v>375.86937113424182</c:v>
                </c:pt>
                <c:pt idx="313">
                  <c:v>378.28702437522094</c:v>
                </c:pt>
                <c:pt idx="314">
                  <c:v>380.70125512138264</c:v>
                </c:pt>
                <c:pt idx="315">
                  <c:v>383.11214244667053</c:v>
                </c:pt>
                <c:pt idx="316">
                  <c:v>385.51976332445287</c:v>
                </c:pt>
                <c:pt idx="317">
                  <c:v>387.92419256081189</c:v>
                </c:pt>
                <c:pt idx="318">
                  <c:v>390.32550272177855</c:v>
                </c:pt>
                <c:pt idx="319">
                  <c:v>392.7237640544605</c:v>
                </c:pt>
                <c:pt idx="320">
                  <c:v>395.11904440208849</c:v>
                </c:pt>
                <c:pt idx="321">
                  <c:v>397.51140911310125</c:v>
                </c:pt>
                <c:pt idx="322">
                  <c:v>399.90092094450654</c:v>
                </c:pt>
                <c:pt idx="323">
                  <c:v>402.2876399598951</c:v>
                </c:pt>
                <c:pt idx="324">
                  <c:v>404.67162342264862</c:v>
                </c:pt>
                <c:pt idx="325">
                  <c:v>407.05292568506718</c:v>
                </c:pt>
                <c:pt idx="326">
                  <c:v>409.43159807434955</c:v>
                </c:pt>
                <c:pt idx="327">
                  <c:v>411.80768877658153</c:v>
                </c:pt>
                <c:pt idx="328">
                  <c:v>414.18124272012034</c:v>
                </c:pt>
                <c:pt idx="329">
                  <c:v>416.55230145999417</c:v>
                </c:pt>
                <c:pt idx="330">
                  <c:v>418.92090306515638</c:v>
                </c:pt>
                <c:pt idx="331">
                  <c:v>421.28708201062489</c:v>
                </c:pt>
                <c:pt idx="332">
                  <c:v>423.65086907668552</c:v>
                </c:pt>
                <c:pt idx="333">
                  <c:v>426.01229125742589</c:v>
                </c:pt>
                <c:pt idx="334">
                  <c:v>428.37137168087406</c:v>
                </c:pt>
                <c:pt idx="335">
                  <c:v>430.72812954293778</c:v>
                </c:pt>
                <c:pt idx="336">
                  <c:v>433.0825800571597</c:v>
                </c:pt>
                <c:pt idx="337">
                  <c:v>435.43473442202685</c:v>
                </c:pt>
                <c:pt idx="338">
                  <c:v>437.78459980720095</c:v>
                </c:pt>
                <c:pt idx="339">
                  <c:v>440.13217935959045</c:v>
                </c:pt>
                <c:pt idx="340">
                  <c:v>442.47747222968121</c:v>
                </c:pt>
                <c:pt idx="341">
                  <c:v>444.82047361801739</c:v>
                </c:pt>
                <c:pt idx="342">
                  <c:v>447.16117484120036</c:v>
                </c:pt>
                <c:pt idx="343">
                  <c:v>449.49956341628928</c:v>
                </c:pt>
                <c:pt idx="344">
                  <c:v>451.83562316206263</c:v>
                </c:pt>
                <c:pt idx="345">
                  <c:v>454.16933431526274</c:v>
                </c:pt>
                <c:pt idx="346">
                  <c:v>456.50067365970239</c:v>
                </c:pt>
                <c:pt idx="347">
                  <c:v>458.82961466597123</c:v>
                </c:pt>
                <c:pt idx="348">
                  <c:v>461.1561276394367</c:v>
                </c:pt>
                <c:pt idx="349">
                  <c:v>463.48017987427647</c:v>
                </c:pt>
                <c:pt idx="350">
                  <c:v>465.80173581139672</c:v>
                </c:pt>
                <c:pt idx="351">
                  <c:v>468.12075719826157</c:v>
                </c:pt>
                <c:pt idx="352">
                  <c:v>470.43720324887033</c:v>
                </c:pt>
                <c:pt idx="353">
                  <c:v>472.75103080235135</c:v>
                </c:pt>
                <c:pt idx="354">
                  <c:v>475.06219447888031</c:v>
                </c:pt>
                <c:pt idx="355">
                  <c:v>477.3706468318681</c:v>
                </c:pt>
                <c:pt idx="356">
                  <c:v>479.67633849558501</c:v>
                </c:pt>
                <c:pt idx="357">
                  <c:v>481.97921832759278</c:v>
                </c:pt>
                <c:pt idx="358">
                  <c:v>484.27923354553729</c:v>
                </c:pt>
                <c:pt idx="359">
                  <c:v>486.57632985801212</c:v>
                </c:pt>
                <c:pt idx="360">
                  <c:v>488.87045158933643</c:v>
                </c:pt>
                <c:pt idx="361">
                  <c:v>491.16154179820154</c:v>
                </c:pt>
                <c:pt idx="362">
                  <c:v>493.44954239022877</c:v>
                </c:pt>
                <c:pt idx="363">
                  <c:v>495.73439422455164</c:v>
                </c:pt>
                <c:pt idx="364">
                  <c:v>498.01603721458952</c:v>
                </c:pt>
                <c:pt idx="365">
                  <c:v>500.29441042321764</c:v>
                </c:pt>
                <c:pt idx="366">
                  <c:v>502.56945215256786</c:v>
                </c:pt>
                <c:pt idx="367">
                  <c:v>504.84110002870989</c:v>
                </c:pt>
                <c:pt idx="368">
                  <c:v>507.10929108147428</c:v>
                </c:pt>
                <c:pt idx="369">
                  <c:v>509.37396181968103</c:v>
                </c:pt>
                <c:pt idx="370">
                  <c:v>511.63504830203561</c:v>
                </c:pt>
                <c:pt idx="371">
                  <c:v>513.89248620395028</c:v>
                </c:pt>
                <c:pt idx="372">
                  <c:v>516.14621088054002</c:v>
                </c:pt>
                <c:pt idx="373">
                  <c:v>518.39615742603144</c:v>
                </c:pt>
                <c:pt idx="374">
                  <c:v>520.64226072981478</c:v>
                </c:pt>
                <c:pt idx="375">
                  <c:v>522.88445552935354</c:v>
                </c:pt>
                <c:pt idx="376">
                  <c:v>525.12267646015641</c:v>
                </c:pt>
                <c:pt idx="377">
                  <c:v>527.35685810300345</c:v>
                </c:pt>
                <c:pt idx="378">
                  <c:v>529.58693502860501</c:v>
                </c:pt>
                <c:pt idx="379">
                  <c:v>531.81284183986088</c:v>
                </c:pt>
                <c:pt idx="380">
                  <c:v>534.03451321187561</c:v>
                </c:pt>
                <c:pt idx="381">
                  <c:v>536.25188392987491</c:v>
                </c:pt>
                <c:pt idx="382">
                  <c:v>538.46488892515595</c:v>
                </c:pt>
                <c:pt idx="383">
                  <c:v>540.67346330919827</c:v>
                </c:pt>
                <c:pt idx="384">
                  <c:v>542.87754240604806</c:v>
                </c:pt>
                <c:pt idx="385">
                  <c:v>545.07706178308388</c:v>
                </c:pt>
                <c:pt idx="386">
                  <c:v>547.27195728026174</c:v>
                </c:pt>
                <c:pt idx="387">
                  <c:v>549.46216503793005</c:v>
                </c:pt>
                <c:pt idx="388">
                  <c:v>551.64762152329899</c:v>
                </c:pt>
                <c:pt idx="389">
                  <c:v>553.8282635556418</c:v>
                </c:pt>
                <c:pt idx="390">
                  <c:v>556.00402833029909</c:v>
                </c:pt>
                <c:pt idx="391">
                  <c:v>558.17485344155341</c:v>
                </c:pt>
                <c:pt idx="392">
                  <c:v>560.34067690443385</c:v>
                </c:pt>
                <c:pt idx="393">
                  <c:v>562.50143717550839</c:v>
                </c:pt>
                <c:pt idx="394">
                  <c:v>564.6570731727154</c:v>
                </c:pt>
                <c:pt idx="395">
                  <c:v>566.8075242942831</c:v>
                </c:pt>
                <c:pt idx="396">
                  <c:v>568.95273043678139</c:v>
                </c:pt>
                <c:pt idx="397">
                  <c:v>571.09263201234796</c:v>
                </c:pt>
                <c:pt idx="398">
                  <c:v>573.22716996512611</c:v>
                </c:pt>
                <c:pt idx="399">
                  <c:v>575.35628578695105</c:v>
                </c:pt>
                <c:pt idx="400">
                  <c:v>577.47992153231678</c:v>
                </c:pt>
                <c:pt idx="401">
                  <c:v>579.59801983265447</c:v>
                </c:pt>
                <c:pt idx="402">
                  <c:v>581.71052390995146</c:v>
                </c:pt>
                <c:pt idx="403">
                  <c:v>583.81737758973657</c:v>
                </c:pt>
                <c:pt idx="404">
                  <c:v>585.91852531345694</c:v>
                </c:pt>
                <c:pt idx="405">
                  <c:v>588.01391215026979</c:v>
                </c:pt>
                <c:pt idx="406">
                  <c:v>590.10348380826986</c:v>
                </c:pt>
                <c:pt idx="407">
                  <c:v>592.18718664517326</c:v>
                </c:pt>
                <c:pt idx="408">
                  <c:v>594.26496767847698</c:v>
                </c:pt>
                <c:pt idx="409">
                  <c:v>596.33677459511068</c:v>
                </c:pt>
                <c:pt idx="410">
                  <c:v>598.40255576059837</c:v>
                </c:pt>
                <c:pt idx="411">
                  <c:v>600.46226022774522</c:v>
                </c:pt>
                <c:pt idx="412">
                  <c:v>602.51583774486426</c:v>
                </c:pt>
                <c:pt idx="413">
                  <c:v>604.56323876355691</c:v>
                </c:pt>
                <c:pt idx="414">
                  <c:v>606.60441444606056</c:v>
                </c:pt>
                <c:pt idx="415">
                  <c:v>608.63931667217514</c:v>
                </c:pt>
                <c:pt idx="416">
                  <c:v>610.66789804578139</c:v>
                </c:pt>
                <c:pt idx="417">
                  <c:v>612.6901119009608</c:v>
                </c:pt>
                <c:pt idx="418">
                  <c:v>614.70591230772902</c:v>
                </c:pt>
                <c:pt idx="419">
                  <c:v>616.71525407739205</c:v>
                </c:pt>
                <c:pt idx="420">
                  <c:v>618.71809276753504</c:v>
                </c:pt>
                <c:pt idx="421">
                  <c:v>620.71438468665383</c:v>
                </c:pt>
                <c:pt idx="422">
                  <c:v>622.70408689843612</c:v>
                </c:pt>
                <c:pt idx="423">
                  <c:v>624.687157225703</c:v>
                </c:pt>
                <c:pt idx="424">
                  <c:v>626.66355425401764</c:v>
                </c:pt>
                <c:pt idx="425">
                  <c:v>628.63323733496918</c:v>
                </c:pt>
                <c:pt idx="426">
                  <c:v>630.59616658913967</c:v>
                </c:pt>
                <c:pt idx="427">
                  <c:v>632.55230290876148</c:v>
                </c:pt>
                <c:pt idx="428">
                  <c:v>634.50160796007196</c:v>
                </c:pt>
                <c:pt idx="429">
                  <c:v>636.44404418537215</c:v>
                </c:pt>
                <c:pt idx="430">
                  <c:v>638.37957480479668</c:v>
                </c:pt>
                <c:pt idx="431">
                  <c:v>640.30816381780085</c:v>
                </c:pt>
                <c:pt idx="432">
                  <c:v>642.22977600437162</c:v>
                </c:pt>
                <c:pt idx="433">
                  <c:v>644.14437692596823</c:v>
                </c:pt>
                <c:pt idx="434">
                  <c:v>646.0519329261989</c:v>
                </c:pt>
                <c:pt idx="435">
                  <c:v>647.95241113123939</c:v>
                </c:pt>
                <c:pt idx="436">
                  <c:v>649.84577944999853</c:v>
                </c:pt>
                <c:pt idx="437">
                  <c:v>651.73200657403731</c:v>
                </c:pt>
                <c:pt idx="438">
                  <c:v>653.61106197724678</c:v>
                </c:pt>
                <c:pt idx="439">
                  <c:v>655.48291591528937</c:v>
                </c:pt>
                <c:pt idx="440">
                  <c:v>657.34753942481018</c:v>
                </c:pt>
                <c:pt idx="441">
                  <c:v>659.20490432242298</c:v>
                </c:pt>
                <c:pt idx="442">
                  <c:v>661.05498320347522</c:v>
                </c:pt>
                <c:pt idx="443">
                  <c:v>662.897749440599</c:v>
                </c:pt>
                <c:pt idx="444">
                  <c:v>664.73317718205101</c:v>
                </c:pt>
                <c:pt idx="445">
                  <c:v>666.56124134984782</c:v>
                </c:pt>
                <c:pt idx="446">
                  <c:v>668.38191763770055</c:v>
                </c:pt>
                <c:pt idx="447">
                  <c:v>670.19518250875467</c:v>
                </c:pt>
                <c:pt idx="448">
                  <c:v>672.00101319313796</c:v>
                </c:pt>
                <c:pt idx="449">
                  <c:v>673.79938768532372</c:v>
                </c:pt>
                <c:pt idx="450">
                  <c:v>675.59028474131162</c:v>
                </c:pt>
                <c:pt idx="451">
                  <c:v>677.3736838756322</c:v>
                </c:pt>
                <c:pt idx="452">
                  <c:v>679.14956535817919</c:v>
                </c:pt>
                <c:pt idx="453">
                  <c:v>680.91791021087363</c:v>
                </c:pt>
                <c:pt idx="454">
                  <c:v>682.67870020416524</c:v>
                </c:pt>
                <c:pt idx="455">
                  <c:v>684.43191785337467</c:v>
                </c:pt>
                <c:pt idx="456">
                  <c:v>686.17754641488114</c:v>
                </c:pt>
                <c:pt idx="457">
                  <c:v>687.91556988215996</c:v>
                </c:pt>
                <c:pt idx="458">
                  <c:v>689.64597298167394</c:v>
                </c:pt>
                <c:pt idx="459">
                  <c:v>691.3687411686235</c:v>
                </c:pt>
                <c:pt idx="460">
                  <c:v>693.08386062255897</c:v>
                </c:pt>
                <c:pt idx="461">
                  <c:v>694.79131824285923</c:v>
                </c:pt>
                <c:pt idx="462">
                  <c:v>696.49110164408182</c:v>
                </c:pt>
                <c:pt idx="463">
                  <c:v>698.1831991511873</c:v>
                </c:pt>
                <c:pt idx="464">
                  <c:v>699.8675997946425</c:v>
                </c:pt>
                <c:pt idx="465">
                  <c:v>701.54429330540677</c:v>
                </c:pt>
                <c:pt idx="466">
                  <c:v>703.21327010980508</c:v>
                </c:pt>
                <c:pt idx="467">
                  <c:v>704.87452132429121</c:v>
                </c:pt>
                <c:pt idx="468">
                  <c:v>706.52803875010602</c:v>
                </c:pt>
                <c:pt idx="469">
                  <c:v>708.17381486783415</c:v>
                </c:pt>
                <c:pt idx="470">
                  <c:v>709.81184283186224</c:v>
                </c:pt>
                <c:pt idx="471">
                  <c:v>711.44211646474332</c:v>
                </c:pt>
                <c:pt idx="472">
                  <c:v>713.06463025147116</c:v>
                </c:pt>
                <c:pt idx="473">
                  <c:v>714.67937933366693</c:v>
                </c:pt>
                <c:pt idx="474">
                  <c:v>716.28635950368346</c:v>
                </c:pt>
                <c:pt idx="475">
                  <c:v>717.88556719862947</c:v>
                </c:pt>
                <c:pt idx="476">
                  <c:v>719.47699949431774</c:v>
                </c:pt>
                <c:pt idx="477">
                  <c:v>721.06065409914072</c:v>
                </c:pt>
                <c:pt idx="478">
                  <c:v>722.63652934787672</c:v>
                </c:pt>
                <c:pt idx="479">
                  <c:v>724.2046241954306</c:v>
                </c:pt>
                <c:pt idx="480">
                  <c:v>725.76493821051167</c:v>
                </c:pt>
                <c:pt idx="481">
                  <c:v>727.31747156925269</c:v>
                </c:pt>
                <c:pt idx="482">
                  <c:v>728.86222504877264</c:v>
                </c:pt>
                <c:pt idx="483">
                  <c:v>730.39920002068686</c:v>
                </c:pt>
                <c:pt idx="484">
                  <c:v>731.92839844456773</c:v>
                </c:pt>
                <c:pt idx="485">
                  <c:v>733.4498228613586</c:v>
                </c:pt>
                <c:pt idx="486">
                  <c:v>734.96347638674479</c:v>
                </c:pt>
                <c:pt idx="487">
                  <c:v>736.46936270448339</c:v>
                </c:pt>
                <c:pt idx="488">
                  <c:v>737.96748605969674</c:v>
                </c:pt>
                <c:pt idx="489">
                  <c:v>739.45785125213024</c:v>
                </c:pt>
                <c:pt idx="490">
                  <c:v>740.94046362937922</c:v>
                </c:pt>
                <c:pt idx="491">
                  <c:v>742.41532908008696</c:v>
                </c:pt>
                <c:pt idx="492">
                  <c:v>743.88245402711641</c:v>
                </c:pt>
                <c:pt idx="493">
                  <c:v>745.34184542069841</c:v>
                </c:pt>
                <c:pt idx="494">
                  <c:v>746.7935107315601</c:v>
                </c:pt>
                <c:pt idx="495">
                  <c:v>748.2374579440343</c:v>
                </c:pt>
                <c:pt idx="496">
                  <c:v>749.67369554915388</c:v>
                </c:pt>
                <c:pt idx="497">
                  <c:v>751.10223253773347</c:v>
                </c:pt>
                <c:pt idx="498">
                  <c:v>752.5230783934403</c:v>
                </c:pt>
                <c:pt idx="499">
                  <c:v>753.9362430858572</c:v>
                </c:pt>
                <c:pt idx="500">
                  <c:v>755.34173706353977</c:v>
                </c:pt>
                <c:pt idx="501">
                  <c:v>756.73957124707067</c:v>
                </c:pt>
                <c:pt idx="502">
                  <c:v>758.12975702211259</c:v>
                </c:pt>
                <c:pt idx="503">
                  <c:v>759.51230623246215</c:v>
                </c:pt>
                <c:pt idx="504">
                  <c:v>760.88723117310781</c:v>
                </c:pt>
                <c:pt idx="505">
                  <c:v>762.25454458329284</c:v>
                </c:pt>
                <c:pt idx="506">
                  <c:v>763.61425963958618</c:v>
                </c:pt>
                <c:pt idx="507">
                  <c:v>764.96638994896239</c:v>
                </c:pt>
                <c:pt idx="508">
                  <c:v>766.31094954189393</c:v>
                </c:pt>
                <c:pt idx="509">
                  <c:v>767.64795286545655</c:v>
                </c:pt>
                <c:pt idx="510">
                  <c:v>768.97741477645013</c:v>
                </c:pt>
                <c:pt idx="511">
                  <c:v>770.29935053453733</c:v>
                </c:pt>
                <c:pt idx="512">
                  <c:v>771.61377579540044</c:v>
                </c:pt>
                <c:pt idx="513">
                  <c:v>772.92070660391971</c:v>
                </c:pt>
                <c:pt idx="514">
                  <c:v>774.22015938737411</c:v>
                </c:pt>
                <c:pt idx="515">
                  <c:v>775.51215094866609</c:v>
                </c:pt>
                <c:pt idx="516">
                  <c:v>776.79669845957221</c:v>
                </c:pt>
                <c:pt idx="517">
                  <c:v>778.07381945402119</c:v>
                </c:pt>
                <c:pt idx="518">
                  <c:v>779.3435318214008</c:v>
                </c:pt>
                <c:pt idx="519">
                  <c:v>780.60585379989482</c:v>
                </c:pt>
                <c:pt idx="520">
                  <c:v>780.60585379989482</c:v>
                </c:pt>
                <c:pt idx="521">
                  <c:v>780.60585379989482</c:v>
                </c:pt>
                <c:pt idx="522">
                  <c:v>780.60585379989482</c:v>
                </c:pt>
                <c:pt idx="523">
                  <c:v>780.60585379989482</c:v>
                </c:pt>
                <c:pt idx="524">
                  <c:v>780.60585379989482</c:v>
                </c:pt>
                <c:pt idx="525">
                  <c:v>780.60585379989482</c:v>
                </c:pt>
                <c:pt idx="526">
                  <c:v>780.60585379989482</c:v>
                </c:pt>
                <c:pt idx="527">
                  <c:v>780.60585379989482</c:v>
                </c:pt>
                <c:pt idx="528">
                  <c:v>780.60585379989482</c:v>
                </c:pt>
                <c:pt idx="529">
                  <c:v>780.60585379989482</c:v>
                </c:pt>
                <c:pt idx="530">
                  <c:v>780.60585379989482</c:v>
                </c:pt>
                <c:pt idx="531">
                  <c:v>780.60585379989482</c:v>
                </c:pt>
                <c:pt idx="532">
                  <c:v>780.60585379989482</c:v>
                </c:pt>
                <c:pt idx="533">
                  <c:v>780.60585379989482</c:v>
                </c:pt>
                <c:pt idx="534">
                  <c:v>780.60585379989482</c:v>
                </c:pt>
                <c:pt idx="535">
                  <c:v>780.60585379989482</c:v>
                </c:pt>
                <c:pt idx="536">
                  <c:v>780.60585379989482</c:v>
                </c:pt>
                <c:pt idx="537">
                  <c:v>780.60585379989482</c:v>
                </c:pt>
                <c:pt idx="538">
                  <c:v>780.60585379989482</c:v>
                </c:pt>
                <c:pt idx="539">
                  <c:v>780.60585379989482</c:v>
                </c:pt>
                <c:pt idx="540">
                  <c:v>780.60585379989482</c:v>
                </c:pt>
                <c:pt idx="541">
                  <c:v>780.60585379989482</c:v>
                </c:pt>
                <c:pt idx="542">
                  <c:v>780.60585379989482</c:v>
                </c:pt>
                <c:pt idx="543">
                  <c:v>780.60585379989482</c:v>
                </c:pt>
                <c:pt idx="544">
                  <c:v>780.60585379989482</c:v>
                </c:pt>
                <c:pt idx="545">
                  <c:v>780.60585379989482</c:v>
                </c:pt>
                <c:pt idx="546">
                  <c:v>780.60585379989482</c:v>
                </c:pt>
                <c:pt idx="547">
                  <c:v>780.60585379989482</c:v>
                </c:pt>
                <c:pt idx="548">
                  <c:v>780.60585379989482</c:v>
                </c:pt>
                <c:pt idx="549">
                  <c:v>780.60585379989482</c:v>
                </c:pt>
                <c:pt idx="550">
                  <c:v>780.60585379989482</c:v>
                </c:pt>
                <c:pt idx="551">
                  <c:v>780.60585379989482</c:v>
                </c:pt>
                <c:pt idx="552">
                  <c:v>780.60585379989482</c:v>
                </c:pt>
                <c:pt idx="553">
                  <c:v>780.60585379989482</c:v>
                </c:pt>
                <c:pt idx="554">
                  <c:v>780.60585379989482</c:v>
                </c:pt>
                <c:pt idx="555">
                  <c:v>780.60585379989482</c:v>
                </c:pt>
                <c:pt idx="556">
                  <c:v>780.60585379989482</c:v>
                </c:pt>
                <c:pt idx="557">
                  <c:v>780.60585379989482</c:v>
                </c:pt>
                <c:pt idx="558">
                  <c:v>780.60585379989482</c:v>
                </c:pt>
                <c:pt idx="559">
                  <c:v>780.60585379989482</c:v>
                </c:pt>
                <c:pt idx="560">
                  <c:v>780.60585379989482</c:v>
                </c:pt>
                <c:pt idx="561">
                  <c:v>780.60585379989482</c:v>
                </c:pt>
                <c:pt idx="562">
                  <c:v>780.60585379989482</c:v>
                </c:pt>
                <c:pt idx="563">
                  <c:v>780.60585379989482</c:v>
                </c:pt>
                <c:pt idx="564">
                  <c:v>780.60585379989482</c:v>
                </c:pt>
                <c:pt idx="565">
                  <c:v>780.60585379989482</c:v>
                </c:pt>
                <c:pt idx="566">
                  <c:v>780.60585379989482</c:v>
                </c:pt>
                <c:pt idx="567">
                  <c:v>780.60585379989482</c:v>
                </c:pt>
                <c:pt idx="568">
                  <c:v>780.60585379989482</c:v>
                </c:pt>
                <c:pt idx="569">
                  <c:v>780.60585379989482</c:v>
                </c:pt>
                <c:pt idx="570">
                  <c:v>780.60585379989482</c:v>
                </c:pt>
                <c:pt idx="571">
                  <c:v>780.60585379989482</c:v>
                </c:pt>
                <c:pt idx="572">
                  <c:v>780.60585379989482</c:v>
                </c:pt>
                <c:pt idx="573">
                  <c:v>780.60585379989482</c:v>
                </c:pt>
                <c:pt idx="574">
                  <c:v>780.60585379989482</c:v>
                </c:pt>
                <c:pt idx="575">
                  <c:v>780.60585379989482</c:v>
                </c:pt>
                <c:pt idx="576">
                  <c:v>780.60585379989482</c:v>
                </c:pt>
                <c:pt idx="577">
                  <c:v>780.60585379989482</c:v>
                </c:pt>
                <c:pt idx="578">
                  <c:v>780.60585379989482</c:v>
                </c:pt>
                <c:pt idx="579">
                  <c:v>780.60585379989482</c:v>
                </c:pt>
                <c:pt idx="580">
                  <c:v>780.60585379989482</c:v>
                </c:pt>
                <c:pt idx="581">
                  <c:v>780.60585379989482</c:v>
                </c:pt>
                <c:pt idx="582">
                  <c:v>780.60585379989482</c:v>
                </c:pt>
                <c:pt idx="583">
                  <c:v>780.60585379989482</c:v>
                </c:pt>
                <c:pt idx="584">
                  <c:v>780.60585379989482</c:v>
                </c:pt>
                <c:pt idx="585">
                  <c:v>780.60585379989482</c:v>
                </c:pt>
                <c:pt idx="586">
                  <c:v>780.60585379989482</c:v>
                </c:pt>
                <c:pt idx="587">
                  <c:v>780.60585379989482</c:v>
                </c:pt>
                <c:pt idx="588">
                  <c:v>780.60585379989482</c:v>
                </c:pt>
                <c:pt idx="589">
                  <c:v>780.60585379989482</c:v>
                </c:pt>
                <c:pt idx="590">
                  <c:v>780.60585379989482</c:v>
                </c:pt>
                <c:pt idx="591">
                  <c:v>780.60585379989482</c:v>
                </c:pt>
                <c:pt idx="592">
                  <c:v>780.60585379989482</c:v>
                </c:pt>
                <c:pt idx="593">
                  <c:v>780.60585379989482</c:v>
                </c:pt>
                <c:pt idx="594">
                  <c:v>780.60585379989482</c:v>
                </c:pt>
                <c:pt idx="595">
                  <c:v>780.60585379989482</c:v>
                </c:pt>
                <c:pt idx="596">
                  <c:v>780.60585379989482</c:v>
                </c:pt>
                <c:pt idx="597">
                  <c:v>780.60585379989482</c:v>
                </c:pt>
                <c:pt idx="598">
                  <c:v>780.60585379989482</c:v>
                </c:pt>
                <c:pt idx="599">
                  <c:v>780.60585379989482</c:v>
                </c:pt>
                <c:pt idx="600">
                  <c:v>780.60585379989482</c:v>
                </c:pt>
                <c:pt idx="601">
                  <c:v>780.60585379989482</c:v>
                </c:pt>
                <c:pt idx="602">
                  <c:v>780.60585379989482</c:v>
                </c:pt>
                <c:pt idx="603">
                  <c:v>780.60585379989482</c:v>
                </c:pt>
                <c:pt idx="604">
                  <c:v>780.60585379989482</c:v>
                </c:pt>
                <c:pt idx="605">
                  <c:v>780.60585379989482</c:v>
                </c:pt>
                <c:pt idx="606">
                  <c:v>780.60585379989482</c:v>
                </c:pt>
                <c:pt idx="607">
                  <c:v>780.60585379989482</c:v>
                </c:pt>
                <c:pt idx="608">
                  <c:v>780.60585379989482</c:v>
                </c:pt>
                <c:pt idx="609">
                  <c:v>780.60585379989482</c:v>
                </c:pt>
                <c:pt idx="610">
                  <c:v>780.60585379989482</c:v>
                </c:pt>
                <c:pt idx="611">
                  <c:v>780.60585379989482</c:v>
                </c:pt>
                <c:pt idx="612">
                  <c:v>780.60585379989482</c:v>
                </c:pt>
                <c:pt idx="613">
                  <c:v>780.60585379989482</c:v>
                </c:pt>
                <c:pt idx="614">
                  <c:v>780.60585379989482</c:v>
                </c:pt>
                <c:pt idx="615">
                  <c:v>780.60585379989482</c:v>
                </c:pt>
                <c:pt idx="616">
                  <c:v>780.60585379989482</c:v>
                </c:pt>
                <c:pt idx="617">
                  <c:v>780.60585379989482</c:v>
                </c:pt>
                <c:pt idx="618">
                  <c:v>780.60585379989482</c:v>
                </c:pt>
                <c:pt idx="619">
                  <c:v>780.60585379989482</c:v>
                </c:pt>
                <c:pt idx="620">
                  <c:v>780.60585379989482</c:v>
                </c:pt>
                <c:pt idx="621">
                  <c:v>780.60585379989482</c:v>
                </c:pt>
                <c:pt idx="622">
                  <c:v>780.60585379989482</c:v>
                </c:pt>
                <c:pt idx="623">
                  <c:v>780.60585379989482</c:v>
                </c:pt>
                <c:pt idx="624">
                  <c:v>780.60585379989482</c:v>
                </c:pt>
                <c:pt idx="625">
                  <c:v>780.60585379989482</c:v>
                </c:pt>
                <c:pt idx="626">
                  <c:v>780.60585379989482</c:v>
                </c:pt>
                <c:pt idx="627">
                  <c:v>780.60585379989482</c:v>
                </c:pt>
                <c:pt idx="628">
                  <c:v>780.60585379989482</c:v>
                </c:pt>
                <c:pt idx="629">
                  <c:v>780.60585379989482</c:v>
                </c:pt>
                <c:pt idx="630">
                  <c:v>780.60585379989482</c:v>
                </c:pt>
                <c:pt idx="631">
                  <c:v>780.60585379989482</c:v>
                </c:pt>
                <c:pt idx="632">
                  <c:v>780.60585379989482</c:v>
                </c:pt>
                <c:pt idx="633">
                  <c:v>780.60585379989482</c:v>
                </c:pt>
                <c:pt idx="634">
                  <c:v>780.60585379989482</c:v>
                </c:pt>
                <c:pt idx="635">
                  <c:v>780.60585379989482</c:v>
                </c:pt>
                <c:pt idx="636">
                  <c:v>780.60585379989482</c:v>
                </c:pt>
                <c:pt idx="637">
                  <c:v>780.60585379989482</c:v>
                </c:pt>
                <c:pt idx="638">
                  <c:v>780.60585379989482</c:v>
                </c:pt>
                <c:pt idx="639">
                  <c:v>780.60585379989482</c:v>
                </c:pt>
                <c:pt idx="640">
                  <c:v>780.60585379989482</c:v>
                </c:pt>
                <c:pt idx="641">
                  <c:v>780.60585379989482</c:v>
                </c:pt>
                <c:pt idx="642">
                  <c:v>780.60585379989482</c:v>
                </c:pt>
                <c:pt idx="643">
                  <c:v>780.60585379989482</c:v>
                </c:pt>
                <c:pt idx="644">
                  <c:v>780.60585379989482</c:v>
                </c:pt>
                <c:pt idx="645">
                  <c:v>780.60585379989482</c:v>
                </c:pt>
                <c:pt idx="646">
                  <c:v>780.60585379989482</c:v>
                </c:pt>
                <c:pt idx="647">
                  <c:v>780.60585379989482</c:v>
                </c:pt>
                <c:pt idx="648">
                  <c:v>780.60585379989482</c:v>
                </c:pt>
                <c:pt idx="649">
                  <c:v>780.60585379989482</c:v>
                </c:pt>
                <c:pt idx="650">
                  <c:v>780.60585379989482</c:v>
                </c:pt>
                <c:pt idx="651">
                  <c:v>780.60585379989482</c:v>
                </c:pt>
                <c:pt idx="652">
                  <c:v>780.60585379989482</c:v>
                </c:pt>
                <c:pt idx="653">
                  <c:v>780.60585379989482</c:v>
                </c:pt>
                <c:pt idx="654">
                  <c:v>780.60585379989482</c:v>
                </c:pt>
                <c:pt idx="655">
                  <c:v>780.60585379989482</c:v>
                </c:pt>
                <c:pt idx="656">
                  <c:v>780.60585379989482</c:v>
                </c:pt>
                <c:pt idx="657">
                  <c:v>780.60585379989482</c:v>
                </c:pt>
                <c:pt idx="658">
                  <c:v>780.60585379989482</c:v>
                </c:pt>
                <c:pt idx="659">
                  <c:v>780.60585379989482</c:v>
                </c:pt>
                <c:pt idx="660">
                  <c:v>780.60585379989482</c:v>
                </c:pt>
                <c:pt idx="661">
                  <c:v>780.60585379989482</c:v>
                </c:pt>
                <c:pt idx="662">
                  <c:v>780.60585379989482</c:v>
                </c:pt>
                <c:pt idx="663">
                  <c:v>780.60585379989482</c:v>
                </c:pt>
                <c:pt idx="664">
                  <c:v>780.60585379989482</c:v>
                </c:pt>
                <c:pt idx="665">
                  <c:v>780.60585379989482</c:v>
                </c:pt>
                <c:pt idx="666">
                  <c:v>780.60585379989482</c:v>
                </c:pt>
                <c:pt idx="667">
                  <c:v>780.60585379989482</c:v>
                </c:pt>
                <c:pt idx="668">
                  <c:v>780.60585379989482</c:v>
                </c:pt>
                <c:pt idx="669">
                  <c:v>780.60585379989482</c:v>
                </c:pt>
                <c:pt idx="670">
                  <c:v>780.60585379989482</c:v>
                </c:pt>
                <c:pt idx="671">
                  <c:v>780.60585379989482</c:v>
                </c:pt>
                <c:pt idx="672">
                  <c:v>780.60585379989482</c:v>
                </c:pt>
                <c:pt idx="673">
                  <c:v>780.60585379989482</c:v>
                </c:pt>
                <c:pt idx="674">
                  <c:v>780.60585379989482</c:v>
                </c:pt>
                <c:pt idx="675">
                  <c:v>780.60585379989482</c:v>
                </c:pt>
                <c:pt idx="676">
                  <c:v>780.60585379989482</c:v>
                </c:pt>
                <c:pt idx="677">
                  <c:v>780.60585379989482</c:v>
                </c:pt>
                <c:pt idx="678">
                  <c:v>780.60585379989482</c:v>
                </c:pt>
                <c:pt idx="679">
                  <c:v>780.60585379989482</c:v>
                </c:pt>
                <c:pt idx="680">
                  <c:v>780.60585379989482</c:v>
                </c:pt>
                <c:pt idx="681">
                  <c:v>780.60585379989482</c:v>
                </c:pt>
                <c:pt idx="682">
                  <c:v>780.60585379989482</c:v>
                </c:pt>
                <c:pt idx="683">
                  <c:v>780.60585379989482</c:v>
                </c:pt>
                <c:pt idx="684">
                  <c:v>780.60585379989482</c:v>
                </c:pt>
                <c:pt idx="685">
                  <c:v>780.60585379989482</c:v>
                </c:pt>
                <c:pt idx="686">
                  <c:v>780.60585379989482</c:v>
                </c:pt>
                <c:pt idx="687">
                  <c:v>780.60585379989482</c:v>
                </c:pt>
                <c:pt idx="688">
                  <c:v>780.60585379989482</c:v>
                </c:pt>
                <c:pt idx="689">
                  <c:v>780.60585379989482</c:v>
                </c:pt>
                <c:pt idx="690">
                  <c:v>780.60585379989482</c:v>
                </c:pt>
                <c:pt idx="691">
                  <c:v>780.60585379989482</c:v>
                </c:pt>
                <c:pt idx="692">
                  <c:v>780.60585379989482</c:v>
                </c:pt>
                <c:pt idx="693">
                  <c:v>780.60585379989482</c:v>
                </c:pt>
                <c:pt idx="694">
                  <c:v>780.60585379989482</c:v>
                </c:pt>
                <c:pt idx="695">
                  <c:v>780.60585379989482</c:v>
                </c:pt>
                <c:pt idx="696">
                  <c:v>780.60585379989482</c:v>
                </c:pt>
                <c:pt idx="697">
                  <c:v>780.60585379989482</c:v>
                </c:pt>
                <c:pt idx="698">
                  <c:v>780.60585379989482</c:v>
                </c:pt>
                <c:pt idx="699">
                  <c:v>780.60585379989482</c:v>
                </c:pt>
                <c:pt idx="700">
                  <c:v>780.60585379989482</c:v>
                </c:pt>
                <c:pt idx="701">
                  <c:v>780.60585379989482</c:v>
                </c:pt>
                <c:pt idx="702">
                  <c:v>780.60585379989482</c:v>
                </c:pt>
                <c:pt idx="703">
                  <c:v>780.60585379989482</c:v>
                </c:pt>
                <c:pt idx="704">
                  <c:v>780.60585379989482</c:v>
                </c:pt>
                <c:pt idx="705">
                  <c:v>780.60585379989482</c:v>
                </c:pt>
                <c:pt idx="706">
                  <c:v>780.60585379989482</c:v>
                </c:pt>
                <c:pt idx="707">
                  <c:v>780.60585379989482</c:v>
                </c:pt>
                <c:pt idx="708">
                  <c:v>780.60585379989482</c:v>
                </c:pt>
                <c:pt idx="709">
                  <c:v>780.60585379989482</c:v>
                </c:pt>
                <c:pt idx="710">
                  <c:v>780.60585379989482</c:v>
                </c:pt>
                <c:pt idx="711">
                  <c:v>780.60585379989482</c:v>
                </c:pt>
                <c:pt idx="712">
                  <c:v>780.60585379989482</c:v>
                </c:pt>
                <c:pt idx="713">
                  <c:v>780.60585379989482</c:v>
                </c:pt>
                <c:pt idx="714">
                  <c:v>780.60585379989482</c:v>
                </c:pt>
                <c:pt idx="715">
                  <c:v>780.60585379989482</c:v>
                </c:pt>
                <c:pt idx="716">
                  <c:v>780.60585379989482</c:v>
                </c:pt>
                <c:pt idx="717">
                  <c:v>780.60585379989482</c:v>
                </c:pt>
                <c:pt idx="718">
                  <c:v>780.60585379989482</c:v>
                </c:pt>
                <c:pt idx="719">
                  <c:v>780.60585379989482</c:v>
                </c:pt>
                <c:pt idx="720">
                  <c:v>780.60585379989482</c:v>
                </c:pt>
                <c:pt idx="721">
                  <c:v>780.60585379989482</c:v>
                </c:pt>
                <c:pt idx="722">
                  <c:v>780.60585379989482</c:v>
                </c:pt>
                <c:pt idx="723">
                  <c:v>780.60585379989482</c:v>
                </c:pt>
                <c:pt idx="724">
                  <c:v>780.60585379989482</c:v>
                </c:pt>
                <c:pt idx="725">
                  <c:v>780.60585379989482</c:v>
                </c:pt>
                <c:pt idx="726">
                  <c:v>780.60585379989482</c:v>
                </c:pt>
                <c:pt idx="727">
                  <c:v>780.60585379989482</c:v>
                </c:pt>
                <c:pt idx="728">
                  <c:v>780.60585379989482</c:v>
                </c:pt>
                <c:pt idx="729">
                  <c:v>780.60585379989482</c:v>
                </c:pt>
                <c:pt idx="730">
                  <c:v>780.60585379989482</c:v>
                </c:pt>
                <c:pt idx="731">
                  <c:v>780.60585379989482</c:v>
                </c:pt>
                <c:pt idx="732">
                  <c:v>780.60585379989482</c:v>
                </c:pt>
                <c:pt idx="733">
                  <c:v>780.60585379989482</c:v>
                </c:pt>
                <c:pt idx="734">
                  <c:v>780.60585379989482</c:v>
                </c:pt>
                <c:pt idx="735">
                  <c:v>780.60585379989482</c:v>
                </c:pt>
                <c:pt idx="736">
                  <c:v>780.60585379989482</c:v>
                </c:pt>
                <c:pt idx="737">
                  <c:v>780.60585379989482</c:v>
                </c:pt>
                <c:pt idx="738">
                  <c:v>780.60585379989482</c:v>
                </c:pt>
                <c:pt idx="739">
                  <c:v>780.60585379989482</c:v>
                </c:pt>
                <c:pt idx="740">
                  <c:v>780.60585379989482</c:v>
                </c:pt>
                <c:pt idx="741">
                  <c:v>780.60585379989482</c:v>
                </c:pt>
                <c:pt idx="742">
                  <c:v>780.60585379989482</c:v>
                </c:pt>
                <c:pt idx="743">
                  <c:v>780.60585379989482</c:v>
                </c:pt>
                <c:pt idx="744">
                  <c:v>780.60585379989482</c:v>
                </c:pt>
                <c:pt idx="745">
                  <c:v>780.60585379989482</c:v>
                </c:pt>
                <c:pt idx="746">
                  <c:v>780.60585379989482</c:v>
                </c:pt>
                <c:pt idx="747">
                  <c:v>780.60585379989482</c:v>
                </c:pt>
                <c:pt idx="748">
                  <c:v>780.60585379989482</c:v>
                </c:pt>
                <c:pt idx="749">
                  <c:v>780.60585379989482</c:v>
                </c:pt>
                <c:pt idx="750">
                  <c:v>780.60585379989482</c:v>
                </c:pt>
                <c:pt idx="751">
                  <c:v>780.60585379989482</c:v>
                </c:pt>
                <c:pt idx="752">
                  <c:v>780.60585379989482</c:v>
                </c:pt>
                <c:pt idx="753">
                  <c:v>780.60585379989482</c:v>
                </c:pt>
                <c:pt idx="754">
                  <c:v>780.60585379989482</c:v>
                </c:pt>
                <c:pt idx="755">
                  <c:v>780.60585379989482</c:v>
                </c:pt>
                <c:pt idx="756">
                  <c:v>780.60585379989482</c:v>
                </c:pt>
                <c:pt idx="757">
                  <c:v>780.60585379989482</c:v>
                </c:pt>
                <c:pt idx="758">
                  <c:v>780.60585379989482</c:v>
                </c:pt>
                <c:pt idx="759">
                  <c:v>780.60585379989482</c:v>
                </c:pt>
                <c:pt idx="760">
                  <c:v>780.60585379989482</c:v>
                </c:pt>
                <c:pt idx="761">
                  <c:v>780.60585379989482</c:v>
                </c:pt>
                <c:pt idx="762">
                  <c:v>780.60585379989482</c:v>
                </c:pt>
                <c:pt idx="763">
                  <c:v>780.60585379989482</c:v>
                </c:pt>
                <c:pt idx="764">
                  <c:v>780.60585379989482</c:v>
                </c:pt>
                <c:pt idx="765">
                  <c:v>780.60585379989482</c:v>
                </c:pt>
                <c:pt idx="766">
                  <c:v>780.60585379989482</c:v>
                </c:pt>
                <c:pt idx="767">
                  <c:v>780.60585379989482</c:v>
                </c:pt>
                <c:pt idx="768">
                  <c:v>780.60585379989482</c:v>
                </c:pt>
                <c:pt idx="769">
                  <c:v>780.60585379989482</c:v>
                </c:pt>
                <c:pt idx="770">
                  <c:v>780.60585379989482</c:v>
                </c:pt>
                <c:pt idx="771">
                  <c:v>780.60585379989482</c:v>
                </c:pt>
                <c:pt idx="772">
                  <c:v>780.60585379989482</c:v>
                </c:pt>
                <c:pt idx="773">
                  <c:v>780.60585379989482</c:v>
                </c:pt>
                <c:pt idx="774">
                  <c:v>780.60585379989482</c:v>
                </c:pt>
                <c:pt idx="775">
                  <c:v>780.60585379989482</c:v>
                </c:pt>
                <c:pt idx="776">
                  <c:v>780.60585379989482</c:v>
                </c:pt>
                <c:pt idx="777">
                  <c:v>780.60585379989482</c:v>
                </c:pt>
                <c:pt idx="778">
                  <c:v>780.60585379989482</c:v>
                </c:pt>
                <c:pt idx="779">
                  <c:v>780.60585379989482</c:v>
                </c:pt>
                <c:pt idx="780">
                  <c:v>780.60585379989482</c:v>
                </c:pt>
                <c:pt idx="781">
                  <c:v>780.60585379989482</c:v>
                </c:pt>
                <c:pt idx="782">
                  <c:v>780.60585379989482</c:v>
                </c:pt>
                <c:pt idx="783">
                  <c:v>780.60585379989482</c:v>
                </c:pt>
                <c:pt idx="784">
                  <c:v>780.60585379989482</c:v>
                </c:pt>
                <c:pt idx="785">
                  <c:v>780.60585379989482</c:v>
                </c:pt>
                <c:pt idx="786">
                  <c:v>780.60585379989482</c:v>
                </c:pt>
                <c:pt idx="787">
                  <c:v>780.60585379989482</c:v>
                </c:pt>
                <c:pt idx="788">
                  <c:v>780.60585379989482</c:v>
                </c:pt>
                <c:pt idx="789">
                  <c:v>780.60585379989482</c:v>
                </c:pt>
                <c:pt idx="790">
                  <c:v>780.60585379989482</c:v>
                </c:pt>
                <c:pt idx="791">
                  <c:v>780.60585379989482</c:v>
                </c:pt>
                <c:pt idx="792">
                  <c:v>780.60585379989482</c:v>
                </c:pt>
                <c:pt idx="793">
                  <c:v>780.60585379989482</c:v>
                </c:pt>
                <c:pt idx="794">
                  <c:v>780.60585379989482</c:v>
                </c:pt>
                <c:pt idx="795">
                  <c:v>780.60585379989482</c:v>
                </c:pt>
                <c:pt idx="796">
                  <c:v>780.60585379989482</c:v>
                </c:pt>
                <c:pt idx="797">
                  <c:v>780.60585379989482</c:v>
                </c:pt>
                <c:pt idx="798">
                  <c:v>780.60585379989482</c:v>
                </c:pt>
                <c:pt idx="799">
                  <c:v>780.60585379989482</c:v>
                </c:pt>
                <c:pt idx="800">
                  <c:v>780.60585379989482</c:v>
                </c:pt>
                <c:pt idx="801">
                  <c:v>780.60585379989482</c:v>
                </c:pt>
                <c:pt idx="802">
                  <c:v>780.60585379989482</c:v>
                </c:pt>
                <c:pt idx="803">
                  <c:v>780.60585379989482</c:v>
                </c:pt>
                <c:pt idx="804">
                  <c:v>780.60585379989482</c:v>
                </c:pt>
                <c:pt idx="805">
                  <c:v>780.60585379989482</c:v>
                </c:pt>
                <c:pt idx="806">
                  <c:v>780.60585379989482</c:v>
                </c:pt>
                <c:pt idx="807">
                  <c:v>780.60585379989482</c:v>
                </c:pt>
                <c:pt idx="808">
                  <c:v>780.60585379989482</c:v>
                </c:pt>
                <c:pt idx="809">
                  <c:v>780.60585379989482</c:v>
                </c:pt>
                <c:pt idx="810">
                  <c:v>780.60585379989482</c:v>
                </c:pt>
                <c:pt idx="811">
                  <c:v>780.60585379989482</c:v>
                </c:pt>
                <c:pt idx="812">
                  <c:v>780.60585379989482</c:v>
                </c:pt>
                <c:pt idx="813">
                  <c:v>780.60585379989482</c:v>
                </c:pt>
                <c:pt idx="814">
                  <c:v>780.60585379989482</c:v>
                </c:pt>
                <c:pt idx="815">
                  <c:v>780.60585379989482</c:v>
                </c:pt>
                <c:pt idx="816">
                  <c:v>780.60585379989482</c:v>
                </c:pt>
                <c:pt idx="817">
                  <c:v>780.60585379989482</c:v>
                </c:pt>
                <c:pt idx="818">
                  <c:v>780.60585379989482</c:v>
                </c:pt>
                <c:pt idx="819">
                  <c:v>780.60585379989482</c:v>
                </c:pt>
                <c:pt idx="820">
                  <c:v>780.60585379989482</c:v>
                </c:pt>
                <c:pt idx="821">
                  <c:v>780.60585379989482</c:v>
                </c:pt>
                <c:pt idx="822">
                  <c:v>780.60585379989482</c:v>
                </c:pt>
                <c:pt idx="823">
                  <c:v>780.60585379989482</c:v>
                </c:pt>
                <c:pt idx="824">
                  <c:v>780.60585379989482</c:v>
                </c:pt>
                <c:pt idx="825">
                  <c:v>780.60585379989482</c:v>
                </c:pt>
                <c:pt idx="826">
                  <c:v>780.60585379989482</c:v>
                </c:pt>
                <c:pt idx="827">
                  <c:v>780.60585379989482</c:v>
                </c:pt>
                <c:pt idx="828">
                  <c:v>780.60585379989482</c:v>
                </c:pt>
                <c:pt idx="829">
                  <c:v>780.60585379989482</c:v>
                </c:pt>
                <c:pt idx="830">
                  <c:v>780.60585379989482</c:v>
                </c:pt>
                <c:pt idx="831">
                  <c:v>780.60585379989482</c:v>
                </c:pt>
                <c:pt idx="832">
                  <c:v>780.60585379989482</c:v>
                </c:pt>
                <c:pt idx="833">
                  <c:v>780.60585379989482</c:v>
                </c:pt>
                <c:pt idx="834">
                  <c:v>780.60585379989482</c:v>
                </c:pt>
                <c:pt idx="835">
                  <c:v>780.60585379989482</c:v>
                </c:pt>
                <c:pt idx="836">
                  <c:v>780.60585379989482</c:v>
                </c:pt>
                <c:pt idx="837">
                  <c:v>780.60585379989482</c:v>
                </c:pt>
                <c:pt idx="838">
                  <c:v>780.60585379989482</c:v>
                </c:pt>
                <c:pt idx="839">
                  <c:v>780.60585379989482</c:v>
                </c:pt>
                <c:pt idx="840">
                  <c:v>780.60585379989482</c:v>
                </c:pt>
                <c:pt idx="841">
                  <c:v>780.60585379989482</c:v>
                </c:pt>
                <c:pt idx="842">
                  <c:v>780.60585379989482</c:v>
                </c:pt>
                <c:pt idx="843">
                  <c:v>780.60585379989482</c:v>
                </c:pt>
                <c:pt idx="844">
                  <c:v>780.60585379989482</c:v>
                </c:pt>
                <c:pt idx="845">
                  <c:v>780.60585379989482</c:v>
                </c:pt>
                <c:pt idx="846">
                  <c:v>780.60585379989482</c:v>
                </c:pt>
                <c:pt idx="847">
                  <c:v>780.60585379989482</c:v>
                </c:pt>
                <c:pt idx="848">
                  <c:v>780.60585379989482</c:v>
                </c:pt>
                <c:pt idx="849">
                  <c:v>780.60585379989482</c:v>
                </c:pt>
                <c:pt idx="850">
                  <c:v>780.60585379989482</c:v>
                </c:pt>
                <c:pt idx="851">
                  <c:v>780.60585379989482</c:v>
                </c:pt>
                <c:pt idx="852">
                  <c:v>780.60585379989482</c:v>
                </c:pt>
                <c:pt idx="853">
                  <c:v>780.60585379989482</c:v>
                </c:pt>
                <c:pt idx="854">
                  <c:v>780.60585379989482</c:v>
                </c:pt>
                <c:pt idx="855">
                  <c:v>780.60585379989482</c:v>
                </c:pt>
                <c:pt idx="856">
                  <c:v>780.60585379989482</c:v>
                </c:pt>
                <c:pt idx="857">
                  <c:v>780.60585379989482</c:v>
                </c:pt>
                <c:pt idx="858">
                  <c:v>780.60585379989482</c:v>
                </c:pt>
                <c:pt idx="859">
                  <c:v>780.60585379989482</c:v>
                </c:pt>
                <c:pt idx="860">
                  <c:v>780.60585379989482</c:v>
                </c:pt>
                <c:pt idx="861">
                  <c:v>780.60585379989482</c:v>
                </c:pt>
                <c:pt idx="862">
                  <c:v>780.60585379989482</c:v>
                </c:pt>
                <c:pt idx="863">
                  <c:v>780.60585379989482</c:v>
                </c:pt>
                <c:pt idx="864">
                  <c:v>780.60585379989482</c:v>
                </c:pt>
                <c:pt idx="865">
                  <c:v>780.60585379989482</c:v>
                </c:pt>
                <c:pt idx="866">
                  <c:v>780.60585379989482</c:v>
                </c:pt>
                <c:pt idx="867">
                  <c:v>780.60585379989482</c:v>
                </c:pt>
                <c:pt idx="868">
                  <c:v>780.60585379989482</c:v>
                </c:pt>
                <c:pt idx="869">
                  <c:v>780.60585379989482</c:v>
                </c:pt>
                <c:pt idx="870">
                  <c:v>780.60585379989482</c:v>
                </c:pt>
                <c:pt idx="871">
                  <c:v>780.60585379989482</c:v>
                </c:pt>
                <c:pt idx="872">
                  <c:v>780.60585379989482</c:v>
                </c:pt>
                <c:pt idx="873">
                  <c:v>780.60585379989482</c:v>
                </c:pt>
                <c:pt idx="874">
                  <c:v>780.60585379989482</c:v>
                </c:pt>
                <c:pt idx="875">
                  <c:v>780.60585379989482</c:v>
                </c:pt>
                <c:pt idx="876">
                  <c:v>780.60585379989482</c:v>
                </c:pt>
                <c:pt idx="877">
                  <c:v>780.60585379989482</c:v>
                </c:pt>
                <c:pt idx="878">
                  <c:v>780.60585379989482</c:v>
                </c:pt>
                <c:pt idx="879">
                  <c:v>780.60585379989482</c:v>
                </c:pt>
                <c:pt idx="880">
                  <c:v>780.60585379989482</c:v>
                </c:pt>
                <c:pt idx="881">
                  <c:v>780.60585379989482</c:v>
                </c:pt>
                <c:pt idx="882">
                  <c:v>780.60585379989482</c:v>
                </c:pt>
                <c:pt idx="883">
                  <c:v>780.60585379989482</c:v>
                </c:pt>
                <c:pt idx="884">
                  <c:v>780.60585379989482</c:v>
                </c:pt>
                <c:pt idx="885">
                  <c:v>780.60585379989482</c:v>
                </c:pt>
                <c:pt idx="886">
                  <c:v>780.60585379989482</c:v>
                </c:pt>
                <c:pt idx="887">
                  <c:v>780.60585379989482</c:v>
                </c:pt>
                <c:pt idx="888">
                  <c:v>780.60585379989482</c:v>
                </c:pt>
                <c:pt idx="889">
                  <c:v>780.60585379989482</c:v>
                </c:pt>
                <c:pt idx="890">
                  <c:v>780.60585379989482</c:v>
                </c:pt>
                <c:pt idx="891">
                  <c:v>780.60585379989482</c:v>
                </c:pt>
                <c:pt idx="892">
                  <c:v>780.60585379989482</c:v>
                </c:pt>
                <c:pt idx="893">
                  <c:v>780.60585379989482</c:v>
                </c:pt>
                <c:pt idx="894">
                  <c:v>780.60585379989482</c:v>
                </c:pt>
                <c:pt idx="895">
                  <c:v>780.60585379989482</c:v>
                </c:pt>
                <c:pt idx="896">
                  <c:v>780.60585379989482</c:v>
                </c:pt>
                <c:pt idx="897">
                  <c:v>780.60585379989482</c:v>
                </c:pt>
                <c:pt idx="898">
                  <c:v>780.60585379989482</c:v>
                </c:pt>
                <c:pt idx="899">
                  <c:v>780.60585379989482</c:v>
                </c:pt>
                <c:pt idx="900">
                  <c:v>780.60585379989482</c:v>
                </c:pt>
                <c:pt idx="901">
                  <c:v>780.60585379989482</c:v>
                </c:pt>
                <c:pt idx="902">
                  <c:v>780.60585379989482</c:v>
                </c:pt>
                <c:pt idx="903">
                  <c:v>780.60585379989482</c:v>
                </c:pt>
                <c:pt idx="904">
                  <c:v>780.60585379989482</c:v>
                </c:pt>
                <c:pt idx="905">
                  <c:v>780.60585379989482</c:v>
                </c:pt>
                <c:pt idx="906">
                  <c:v>780.60585379989482</c:v>
                </c:pt>
                <c:pt idx="907">
                  <c:v>780.60585379989482</c:v>
                </c:pt>
                <c:pt idx="908">
                  <c:v>780.60585379989482</c:v>
                </c:pt>
                <c:pt idx="909">
                  <c:v>780.60585379989482</c:v>
                </c:pt>
                <c:pt idx="910">
                  <c:v>780.60585379989482</c:v>
                </c:pt>
                <c:pt idx="911">
                  <c:v>780.60585379989482</c:v>
                </c:pt>
                <c:pt idx="912">
                  <c:v>780.60585379989482</c:v>
                </c:pt>
                <c:pt idx="913">
                  <c:v>780.60585379989482</c:v>
                </c:pt>
                <c:pt idx="914">
                  <c:v>780.60585379989482</c:v>
                </c:pt>
                <c:pt idx="915">
                  <c:v>780.60585379989482</c:v>
                </c:pt>
                <c:pt idx="916">
                  <c:v>780.60585379989482</c:v>
                </c:pt>
                <c:pt idx="917">
                  <c:v>780.60585379989482</c:v>
                </c:pt>
                <c:pt idx="918">
                  <c:v>780.60585379989482</c:v>
                </c:pt>
                <c:pt idx="919">
                  <c:v>780.60585379989482</c:v>
                </c:pt>
                <c:pt idx="920">
                  <c:v>780.60585379989482</c:v>
                </c:pt>
                <c:pt idx="921">
                  <c:v>780.60585379989482</c:v>
                </c:pt>
                <c:pt idx="922">
                  <c:v>780.60585379989482</c:v>
                </c:pt>
                <c:pt idx="923">
                  <c:v>780.60585379989482</c:v>
                </c:pt>
                <c:pt idx="924">
                  <c:v>780.60585379989482</c:v>
                </c:pt>
                <c:pt idx="925">
                  <c:v>780.60585379989482</c:v>
                </c:pt>
                <c:pt idx="926">
                  <c:v>780.60585379989482</c:v>
                </c:pt>
                <c:pt idx="927">
                  <c:v>780.60585379989482</c:v>
                </c:pt>
                <c:pt idx="928">
                  <c:v>780.60585379989482</c:v>
                </c:pt>
                <c:pt idx="929">
                  <c:v>780.60585379989482</c:v>
                </c:pt>
                <c:pt idx="930">
                  <c:v>780.60585379989482</c:v>
                </c:pt>
                <c:pt idx="931">
                  <c:v>780.60585379989482</c:v>
                </c:pt>
                <c:pt idx="932">
                  <c:v>780.60585379989482</c:v>
                </c:pt>
                <c:pt idx="933">
                  <c:v>780.60585379989482</c:v>
                </c:pt>
                <c:pt idx="934">
                  <c:v>780.60585379989482</c:v>
                </c:pt>
                <c:pt idx="935">
                  <c:v>780.60585379989482</c:v>
                </c:pt>
                <c:pt idx="936">
                  <c:v>780.60585379989482</c:v>
                </c:pt>
                <c:pt idx="937">
                  <c:v>780.60585379989482</c:v>
                </c:pt>
                <c:pt idx="938">
                  <c:v>780.60585379989482</c:v>
                </c:pt>
                <c:pt idx="939">
                  <c:v>780.60585379989482</c:v>
                </c:pt>
                <c:pt idx="940">
                  <c:v>780.60585379989482</c:v>
                </c:pt>
                <c:pt idx="941">
                  <c:v>780.60585379989482</c:v>
                </c:pt>
                <c:pt idx="942">
                  <c:v>780.60585379989482</c:v>
                </c:pt>
                <c:pt idx="943">
                  <c:v>780.60585379989482</c:v>
                </c:pt>
                <c:pt idx="944">
                  <c:v>780.60585379989482</c:v>
                </c:pt>
                <c:pt idx="945">
                  <c:v>780.60585379989482</c:v>
                </c:pt>
                <c:pt idx="946">
                  <c:v>780.60585379989482</c:v>
                </c:pt>
                <c:pt idx="947">
                  <c:v>780.60585379989482</c:v>
                </c:pt>
                <c:pt idx="948">
                  <c:v>780.60585379989482</c:v>
                </c:pt>
                <c:pt idx="949">
                  <c:v>780.60585379989482</c:v>
                </c:pt>
                <c:pt idx="950">
                  <c:v>780.60585379989482</c:v>
                </c:pt>
                <c:pt idx="951">
                  <c:v>780.60585379989482</c:v>
                </c:pt>
                <c:pt idx="952">
                  <c:v>780.60585379989482</c:v>
                </c:pt>
                <c:pt idx="953">
                  <c:v>780.60585379989482</c:v>
                </c:pt>
                <c:pt idx="954">
                  <c:v>780.60585379989482</c:v>
                </c:pt>
                <c:pt idx="955">
                  <c:v>780.60585379989482</c:v>
                </c:pt>
                <c:pt idx="956">
                  <c:v>780.60585379989482</c:v>
                </c:pt>
                <c:pt idx="957">
                  <c:v>780.60585379989482</c:v>
                </c:pt>
                <c:pt idx="958">
                  <c:v>780.60585379989482</c:v>
                </c:pt>
                <c:pt idx="959">
                  <c:v>780.60585379989482</c:v>
                </c:pt>
                <c:pt idx="960">
                  <c:v>780.60585379989482</c:v>
                </c:pt>
                <c:pt idx="961">
                  <c:v>780.60585379989482</c:v>
                </c:pt>
                <c:pt idx="962">
                  <c:v>780.60585379989482</c:v>
                </c:pt>
                <c:pt idx="963">
                  <c:v>780.60585379989482</c:v>
                </c:pt>
                <c:pt idx="964">
                  <c:v>780.60585379989482</c:v>
                </c:pt>
                <c:pt idx="965">
                  <c:v>780.60585379989482</c:v>
                </c:pt>
                <c:pt idx="966">
                  <c:v>780.60585379989482</c:v>
                </c:pt>
                <c:pt idx="967">
                  <c:v>780.60585379989482</c:v>
                </c:pt>
                <c:pt idx="968">
                  <c:v>780.60585379989482</c:v>
                </c:pt>
                <c:pt idx="969">
                  <c:v>780.60585379989482</c:v>
                </c:pt>
                <c:pt idx="970">
                  <c:v>780.60585379989482</c:v>
                </c:pt>
                <c:pt idx="971">
                  <c:v>780.60585379989482</c:v>
                </c:pt>
                <c:pt idx="972">
                  <c:v>780.60585379989482</c:v>
                </c:pt>
                <c:pt idx="973">
                  <c:v>780.60585379989482</c:v>
                </c:pt>
                <c:pt idx="974">
                  <c:v>780.60585379989482</c:v>
                </c:pt>
                <c:pt idx="975">
                  <c:v>780.60585379989482</c:v>
                </c:pt>
                <c:pt idx="976">
                  <c:v>780.60585379989482</c:v>
                </c:pt>
                <c:pt idx="977">
                  <c:v>780.60585379989482</c:v>
                </c:pt>
                <c:pt idx="978">
                  <c:v>780.60585379989482</c:v>
                </c:pt>
                <c:pt idx="979">
                  <c:v>780.60585379989482</c:v>
                </c:pt>
                <c:pt idx="980">
                  <c:v>780.60585379989482</c:v>
                </c:pt>
                <c:pt idx="981">
                  <c:v>780.60585379989482</c:v>
                </c:pt>
                <c:pt idx="982">
                  <c:v>780.60585379989482</c:v>
                </c:pt>
                <c:pt idx="983">
                  <c:v>780.60585379989482</c:v>
                </c:pt>
                <c:pt idx="984">
                  <c:v>780.60585379989482</c:v>
                </c:pt>
                <c:pt idx="985">
                  <c:v>780.60585379989482</c:v>
                </c:pt>
                <c:pt idx="986">
                  <c:v>780.60585379989482</c:v>
                </c:pt>
                <c:pt idx="987">
                  <c:v>780.60585379989482</c:v>
                </c:pt>
                <c:pt idx="988">
                  <c:v>780.60585379989482</c:v>
                </c:pt>
                <c:pt idx="989">
                  <c:v>780.60585379989482</c:v>
                </c:pt>
                <c:pt idx="990">
                  <c:v>780.60585379989482</c:v>
                </c:pt>
                <c:pt idx="991">
                  <c:v>780.60585379989482</c:v>
                </c:pt>
                <c:pt idx="992">
                  <c:v>780.60585379989482</c:v>
                </c:pt>
                <c:pt idx="993">
                  <c:v>780.60585379989482</c:v>
                </c:pt>
                <c:pt idx="994">
                  <c:v>780.60585379989482</c:v>
                </c:pt>
                <c:pt idx="995">
                  <c:v>780.60585379989482</c:v>
                </c:pt>
                <c:pt idx="996">
                  <c:v>780.60585379989482</c:v>
                </c:pt>
                <c:pt idx="997">
                  <c:v>780.60585379989482</c:v>
                </c:pt>
                <c:pt idx="998">
                  <c:v>780.60585379989482</c:v>
                </c:pt>
                <c:pt idx="999">
                  <c:v>780.60585379989482</c:v>
                </c:pt>
                <c:pt idx="1000">
                  <c:v>780.60585379989482</c:v>
                </c:pt>
              </c:numCache>
            </c:numRef>
          </c:xVal>
          <c:yVal>
            <c:numRef>
              <c:f>Calculs!$K$4:$K$1004</c:f>
              <c:numCache>
                <c:formatCode>0.00</c:formatCode>
                <c:ptCount val="1001"/>
                <c:pt idx="0">
                  <c:v>0</c:v>
                </c:pt>
                <c:pt idx="1">
                  <c:v>8.6628900036048477E-4</c:v>
                </c:pt>
                <c:pt idx="2">
                  <c:v>7.2012236735458125E-3</c:v>
                </c:pt>
                <c:pt idx="3">
                  <c:v>2.5017616524039755E-2</c:v>
                </c:pt>
                <c:pt idx="4">
                  <c:v>5.6354312087586476E-2</c:v>
                </c:pt>
                <c:pt idx="5">
                  <c:v>0.10073493119666843</c:v>
                </c:pt>
                <c:pt idx="6">
                  <c:v>0.15782750892855033</c:v>
                </c:pt>
                <c:pt idx="7">
                  <c:v>0.2275904628140466</c:v>
                </c:pt>
                <c:pt idx="8">
                  <c:v>0.3101276317868239</c:v>
                </c:pt>
                <c:pt idx="9">
                  <c:v>0.40554291741945758</c:v>
                </c:pt>
                <c:pt idx="10">
                  <c:v>0.51394028211170439</c:v>
                </c:pt>
                <c:pt idx="11">
                  <c:v>0.63540864029548572</c:v>
                </c:pt>
                <c:pt idx="12">
                  <c:v>0.77000670842922758</c:v>
                </c:pt>
                <c:pt idx="13">
                  <c:v>0.91777804925889894</c:v>
                </c:pt>
                <c:pt idx="14">
                  <c:v>1.0787661575146401</c:v>
                </c:pt>
                <c:pt idx="15">
                  <c:v>1.2530144585302383</c:v>
                </c:pt>
                <c:pt idx="16">
                  <c:v>1.4405663068577128</c:v>
                </c:pt>
                <c:pt idx="17">
                  <c:v>1.6414649848770997</c:v>
                </c:pt>
                <c:pt idx="18">
                  <c:v>1.8557537014015273</c:v>
                </c:pt>
                <c:pt idx="19">
                  <c:v>2.0834755902776774</c:v>
                </c:pt>
                <c:pt idx="20">
                  <c:v>2.324673708981726</c:v>
                </c:pt>
                <c:pt idx="21">
                  <c:v>2.5793849731424268</c:v>
                </c:pt>
                <c:pt idx="22">
                  <c:v>2.8476340748106428</c:v>
                </c:pt>
                <c:pt idx="23">
                  <c:v>3.1294395216112507</c:v>
                </c:pt>
                <c:pt idx="24">
                  <c:v>3.4248196924281418</c:v>
                </c:pt>
                <c:pt idx="25">
                  <c:v>3.7337928365589774</c:v>
                </c:pt>
                <c:pt idx="26">
                  <c:v>4.0563770728739126</c:v>
                </c:pt>
                <c:pt idx="27">
                  <c:v>4.3925755877908621</c:v>
                </c:pt>
                <c:pt idx="28">
                  <c:v>4.7423908160914694</c:v>
                </c:pt>
                <c:pt idx="29">
                  <c:v>5.1058392494780653</c:v>
                </c:pt>
                <c:pt idx="30">
                  <c:v>5.4829372720818874</c:v>
                </c:pt>
                <c:pt idx="31">
                  <c:v>5.873701168246237</c:v>
                </c:pt>
                <c:pt idx="32">
                  <c:v>6.2781471194657898</c:v>
                </c:pt>
                <c:pt idx="33">
                  <c:v>6.6962912015466713</c:v>
                </c:pt>
                <c:pt idx="34">
                  <c:v>7.1281493819604114</c:v>
                </c:pt>
                <c:pt idx="35">
                  <c:v>7.5737375173689676</c:v>
                </c:pt>
                <c:pt idx="36">
                  <c:v>8.0330713513014143</c:v>
                </c:pt>
                <c:pt idx="37">
                  <c:v>8.5061665119656507</c:v>
                </c:pt>
                <c:pt idx="38">
                  <c:v>8.9930385101808419</c:v>
                </c:pt>
                <c:pt idx="39">
                  <c:v>9.4937027374182215</c:v>
                </c:pt>
                <c:pt idx="40">
                  <c:v>10.00817446393954</c:v>
                </c:pt>
                <c:pt idx="41">
                  <c:v>10.536464117495703</c:v>
                </c:pt>
                <c:pt idx="42">
                  <c:v>11.07857255109665</c:v>
                </c:pt>
                <c:pt idx="43">
                  <c:v>11.634495745555906</c:v>
                </c:pt>
                <c:pt idx="44">
                  <c:v>12.204229523373577</c:v>
                </c:pt>
                <c:pt idx="45">
                  <c:v>12.787769547775413</c:v>
                </c:pt>
                <c:pt idx="46">
                  <c:v>13.385111321818952</c:v>
                </c:pt>
                <c:pt idx="47">
                  <c:v>13.996250187561616</c:v>
                </c:pt>
                <c:pt idx="48">
                  <c:v>14.621181325286233</c:v>
                </c:pt>
                <c:pt idx="49">
                  <c:v>15.259899752779951</c:v>
                </c:pt>
                <c:pt idx="50">
                  <c:v>15.91240032466289</c:v>
                </c:pt>
                <c:pt idx="51">
                  <c:v>16.578677731763335</c:v>
                </c:pt>
                <c:pt idx="52">
                  <c:v>17.258726500536522</c:v>
                </c:pt>
                <c:pt idx="53">
                  <c:v>17.952540992524415</c:v>
                </c:pt>
                <c:pt idx="54">
                  <c:v>18.660115403854107</c:v>
                </c:pt>
                <c:pt idx="55">
                  <c:v>19.381443764772694</c:v>
                </c:pt>
                <c:pt idx="56">
                  <c:v>20.116519939216683</c:v>
                </c:pt>
                <c:pt idx="57">
                  <c:v>20.865337624414206</c:v>
                </c:pt>
                <c:pt idx="58">
                  <c:v>21.627890350518371</c:v>
                </c:pt>
                <c:pt idx="59">
                  <c:v>22.404171480270371</c:v>
                </c:pt>
                <c:pt idx="60">
                  <c:v>23.194174208690953</c:v>
                </c:pt>
                <c:pt idx="61">
                  <c:v>23.997891562799051</c:v>
                </c:pt>
                <c:pt idx="62">
                  <c:v>24.815316401356483</c:v>
                </c:pt>
                <c:pt idx="63">
                  <c:v>25.646441414637643</c:v>
                </c:pt>
                <c:pt idx="64">
                  <c:v>26.491259124223284</c:v>
                </c:pt>
                <c:pt idx="65">
                  <c:v>27.349761882817514</c:v>
                </c:pt>
                <c:pt idx="66">
                  <c:v>28.221941874087179</c:v>
                </c:pt>
                <c:pt idx="67">
                  <c:v>29.107791112522925</c:v>
                </c:pt>
                <c:pt idx="68">
                  <c:v>30.007301443321229</c:v>
                </c:pt>
                <c:pt idx="69">
                  <c:v>30.920464542286776</c:v>
                </c:pt>
                <c:pt idx="70">
                  <c:v>31.847271915754604</c:v>
                </c:pt>
                <c:pt idx="71">
                  <c:v>32.787714900531427</c:v>
                </c:pt>
                <c:pt idx="72">
                  <c:v>33.741784663855668</c:v>
                </c:pt>
                <c:pt idx="73">
                  <c:v>34.709472203375725</c:v>
                </c:pt>
                <c:pt idx="74">
                  <c:v>35.690768347145983</c:v>
                </c:pt>
                <c:pt idx="75">
                  <c:v>36.685663753640199</c:v>
                </c:pt>
                <c:pt idx="76">
                  <c:v>37.694148911781852</c:v>
                </c:pt>
                <c:pt idx="77">
                  <c:v>38.716214140991106</c:v>
                </c:pt>
                <c:pt idx="78">
                  <c:v>39.751849591248018</c:v>
                </c:pt>
                <c:pt idx="79">
                  <c:v>40.8010452431717</c:v>
                </c:pt>
                <c:pt idx="80">
                  <c:v>41.863790908115085</c:v>
                </c:pt>
                <c:pt idx="81">
                  <c:v>42.940071429945675</c:v>
                </c:pt>
                <c:pt idx="82">
                  <c:v>44.029861877728656</c:v>
                </c:pt>
                <c:pt idx="83">
                  <c:v>45.133132333118112</c:v>
                </c:pt>
                <c:pt idx="84">
                  <c:v>46.24985268725333</c:v>
                </c:pt>
                <c:pt idx="85">
                  <c:v>47.379992641684524</c:v>
                </c:pt>
                <c:pt idx="86">
                  <c:v>48.523521709314743</c:v>
                </c:pt>
                <c:pt idx="87">
                  <c:v>49.680409215357621</c:v>
                </c:pt>
                <c:pt idx="88">
                  <c:v>50.850624298310578</c:v>
                </c:pt>
                <c:pt idx="89">
                  <c:v>52.034135910943156</c:v>
                </c:pt>
                <c:pt idx="90">
                  <c:v>53.230912821300144</c:v>
                </c:pt>
                <c:pt idx="91">
                  <c:v>54.440921492624689</c:v>
                </c:pt>
                <c:pt idx="92">
                  <c:v>55.66412395961769</c:v>
                </c:pt>
                <c:pt idx="93">
                  <c:v>56.900479946366985</c:v>
                </c:pt>
                <c:pt idx="94">
                  <c:v>58.14994898815317</c:v>
                </c:pt>
                <c:pt idx="95">
                  <c:v>59.41249043289254</c:v>
                </c:pt>
                <c:pt idx="96">
                  <c:v>60.688063442592998</c:v>
                </c:pt>
                <c:pt idx="97">
                  <c:v>61.976626994822567</c:v>
                </c:pt>
                <c:pt idx="98">
                  <c:v>63.27813988419021</c:v>
                </c:pt>
                <c:pt idx="99">
                  <c:v>64.592560723838545</c:v>
                </c:pt>
                <c:pt idx="100">
                  <c:v>65.919847946948224</c:v>
                </c:pt>
                <c:pt idx="101">
                  <c:v>67.259959468813378</c:v>
                </c:pt>
                <c:pt idx="102">
                  <c:v>68.612852348400565</c:v>
                </c:pt>
                <c:pt idx="103">
                  <c:v>69.978483128767778</c:v>
                </c:pt>
                <c:pt idx="104">
                  <c:v>71.35680817805185</c:v>
                </c:pt>
                <c:pt idx="105">
                  <c:v>72.747783691087108</c:v>
                </c:pt>
                <c:pt idx="106">
                  <c:v>74.151365691033703</c:v>
                </c:pt>
                <c:pt idx="107">
                  <c:v>75.567510031015274</c:v>
                </c:pt>
                <c:pt idx="108">
                  <c:v>76.996172395765669</c:v>
                </c:pt>
                <c:pt idx="109">
                  <c:v>78.437308303284482</c:v>
                </c:pt>
                <c:pt idx="110">
                  <c:v>79.890873106500976</c:v>
                </c:pt>
                <c:pt idx="111">
                  <c:v>81.356825905123841</c:v>
                </c:pt>
                <c:pt idx="112">
                  <c:v>82.835133462881416</c:v>
                </c:pt>
                <c:pt idx="113">
                  <c:v>84.325766304174451</c:v>
                </c:pt>
                <c:pt idx="114">
                  <c:v>85.828694805022124</c:v>
                </c:pt>
                <c:pt idx="115">
                  <c:v>87.343889194101806</c:v>
                </c:pt>
                <c:pt idx="116">
                  <c:v>88.871319553796894</c:v>
                </c:pt>
                <c:pt idx="117">
                  <c:v>90.410955821252557</c:v>
                </c:pt>
                <c:pt idx="118">
                  <c:v>91.962767789439269</c:v>
                </c:pt>
                <c:pt idx="119">
                  <c:v>93.526725108223843</c:v>
                </c:pt>
                <c:pt idx="120">
                  <c:v>95.102797285447949</c:v>
                </c:pt>
                <c:pt idx="121">
                  <c:v>96.690947199186212</c:v>
                </c:pt>
                <c:pt idx="122">
                  <c:v>98.291124602065452</c:v>
                </c:pt>
                <c:pt idx="123">
                  <c:v>99.903272604579229</c:v>
                </c:pt>
                <c:pt idx="124">
                  <c:v>101.52733416692158</c:v>
                </c:pt>
                <c:pt idx="125">
                  <c:v>103.16325210123135</c:v>
                </c:pt>
                <c:pt idx="126">
                  <c:v>104.81096907383936</c:v>
                </c:pt>
                <c:pt idx="127">
                  <c:v>106.47042760751795</c:v>
                </c:pt>
                <c:pt idx="128">
                  <c:v>108.14157008373277</c:v>
                </c:pt>
                <c:pt idx="129">
                  <c:v>109.82433874489629</c:v>
                </c:pt>
                <c:pt idx="130">
                  <c:v>111.51867569662285</c:v>
                </c:pt>
                <c:pt idx="131">
                  <c:v>113.22452121032657</c:v>
                </c:pt>
                <c:pt idx="132">
                  <c:v>114.9418120240928</c:v>
                </c:pt>
                <c:pt idx="133">
                  <c:v>116.67048304351177</c:v>
                </c:pt>
                <c:pt idx="134">
                  <c:v>118.41046904440124</c:v>
                </c:pt>
                <c:pt idx="135">
                  <c:v>120.16170467538571</c:v>
                </c:pt>
                <c:pt idx="136">
                  <c:v>121.92412446047344</c:v>
                </c:pt>
                <c:pt idx="137">
                  <c:v>123.69766280163101</c:v>
                </c:pt>
                <c:pt idx="138">
                  <c:v>125.48225398135497</c:v>
                </c:pt>
                <c:pt idx="139">
                  <c:v>127.27783216524035</c:v>
                </c:pt>
                <c:pt idx="140">
                  <c:v>129.08433140454554</c:v>
                </c:pt>
                <c:pt idx="141">
                  <c:v>130.90166530641716</c:v>
                </c:pt>
                <c:pt idx="142">
                  <c:v>132.72970668816069</c:v>
                </c:pt>
                <c:pt idx="143">
                  <c:v>134.56830790785585</c:v>
                </c:pt>
                <c:pt idx="144">
                  <c:v>136.41732121331219</c:v>
                </c:pt>
                <c:pt idx="145">
                  <c:v>138.2765987493795</c:v>
                </c:pt>
                <c:pt idx="146">
                  <c:v>140.1459925652083</c:v>
                </c:pt>
                <c:pt idx="147">
                  <c:v>142.02535462145951</c:v>
                </c:pt>
                <c:pt idx="148">
                  <c:v>143.91453679746186</c:v>
                </c:pt>
                <c:pt idx="149">
                  <c:v>145.81339089831641</c:v>
                </c:pt>
                <c:pt idx="150">
                  <c:v>147.72176866194664</c:v>
                </c:pt>
                <c:pt idx="151">
                  <c:v>149.63952176609362</c:v>
                </c:pt>
                <c:pt idx="152">
                  <c:v>151.56650183525502</c:v>
                </c:pt>
                <c:pt idx="153">
                  <c:v>153.50256044756694</c:v>
                </c:pt>
                <c:pt idx="154">
                  <c:v>155.4475491416278</c:v>
                </c:pt>
                <c:pt idx="155">
                  <c:v>157.40131942326346</c:v>
                </c:pt>
                <c:pt idx="156">
                  <c:v>159.36362642138494</c:v>
                </c:pt>
                <c:pt idx="157">
                  <c:v>161.33403253120548</c:v>
                </c:pt>
                <c:pt idx="158">
                  <c:v>163.31200386248253</c:v>
                </c:pt>
                <c:pt idx="159">
                  <c:v>165.29700672361676</c:v>
                </c:pt>
                <c:pt idx="160">
                  <c:v>167.28850767439644</c:v>
                </c:pt>
                <c:pt idx="161">
                  <c:v>169.28585106733385</c:v>
                </c:pt>
                <c:pt idx="162">
                  <c:v>171.28813666470111</c:v>
                </c:pt>
                <c:pt idx="163">
                  <c:v>173.29435415616197</c:v>
                </c:pt>
                <c:pt idx="164">
                  <c:v>175.30351764451225</c:v>
                </c:pt>
                <c:pt idx="165">
                  <c:v>177.31477112600189</c:v>
                </c:pt>
                <c:pt idx="166">
                  <c:v>179.32749380789372</c:v>
                </c:pt>
                <c:pt idx="167">
                  <c:v>181.34109384496603</c:v>
                </c:pt>
                <c:pt idx="168">
                  <c:v>183.35486670270612</c:v>
                </c:pt>
                <c:pt idx="169">
                  <c:v>185.36790062680041</c:v>
                </c:pt>
                <c:pt idx="170">
                  <c:v>187.37904673864361</c:v>
                </c:pt>
                <c:pt idx="171">
                  <c:v>189.38750130893436</c:v>
                </c:pt>
                <c:pt idx="172">
                  <c:v>191.39306496401636</c:v>
                </c:pt>
                <c:pt idx="173">
                  <c:v>193.39574354352331</c:v>
                </c:pt>
                <c:pt idx="174">
                  <c:v>195.39554286541716</c:v>
                </c:pt>
                <c:pt idx="175">
                  <c:v>197.39246872609442</c:v>
                </c:pt>
                <c:pt idx="176">
                  <c:v>199.38652690049204</c:v>
                </c:pt>
                <c:pt idx="177">
                  <c:v>201.37772314219248</c:v>
                </c:pt>
                <c:pt idx="178">
                  <c:v>203.36606318352813</c:v>
                </c:pt>
                <c:pt idx="179">
                  <c:v>205.35155273568523</c:v>
                </c:pt>
                <c:pt idx="180">
                  <c:v>207.33419748880698</c:v>
                </c:pt>
                <c:pt idx="181">
                  <c:v>209.31400311209615</c:v>
                </c:pt>
                <c:pt idx="182">
                  <c:v>211.29097525391691</c:v>
                </c:pt>
                <c:pt idx="183">
                  <c:v>213.26511954189621</c:v>
                </c:pt>
                <c:pt idx="184">
                  <c:v>215.23644158302437</c:v>
                </c:pt>
                <c:pt idx="185">
                  <c:v>217.20494696375516</c:v>
                </c:pt>
                <c:pt idx="186">
                  <c:v>219.17064125010526</c:v>
                </c:pt>
                <c:pt idx="187">
                  <c:v>221.13352998775306</c:v>
                </c:pt>
                <c:pt idx="188">
                  <c:v>223.09361870213689</c:v>
                </c:pt>
                <c:pt idx="189">
                  <c:v>225.05091289855264</c:v>
                </c:pt>
                <c:pt idx="190">
                  <c:v>227.00541806225078</c:v>
                </c:pt>
                <c:pt idx="191">
                  <c:v>228.95713965853284</c:v>
                </c:pt>
                <c:pt idx="192">
                  <c:v>230.90608313284724</c:v>
                </c:pt>
                <c:pt idx="193">
                  <c:v>232.85225391088454</c:v>
                </c:pt>
                <c:pt idx="194">
                  <c:v>234.79565739867218</c:v>
                </c:pt>
                <c:pt idx="195">
                  <c:v>236.73629898266853</c:v>
                </c:pt>
                <c:pt idx="196">
                  <c:v>238.67418402985655</c:v>
                </c:pt>
                <c:pt idx="197">
                  <c:v>240.60931788783665</c:v>
                </c:pt>
                <c:pt idx="198">
                  <c:v>242.54170588491922</c:v>
                </c:pt>
                <c:pt idx="199">
                  <c:v>244.47135333021643</c:v>
                </c:pt>
                <c:pt idx="200">
                  <c:v>246.39826551373358</c:v>
                </c:pt>
                <c:pt idx="201">
                  <c:v>265.51735623924014</c:v>
                </c:pt>
                <c:pt idx="202">
                  <c:v>284.36631129770609</c:v>
                </c:pt>
                <c:pt idx="203">
                  <c:v>302.95023953467677</c:v>
                </c:pt>
                <c:pt idx="204">
                  <c:v>321.27407037934501</c:v>
                </c:pt>
                <c:pt idx="205">
                  <c:v>339.34256207921163</c:v>
                </c:pt>
                <c:pt idx="206">
                  <c:v>357.16030946097283</c:v>
                </c:pt>
                <c:pt idx="207">
                  <c:v>374.73175125012062</c:v>
                </c:pt>
                <c:pt idx="208">
                  <c:v>392.06117697916005</c:v>
                </c:pt>
                <c:pt idx="209">
                  <c:v>409.15273351199926</c:v>
                </c:pt>
                <c:pt idx="210">
                  <c:v>426.01043120992881</c:v>
                </c:pt>
                <c:pt idx="211">
                  <c:v>442.63814976265553</c:v>
                </c:pt>
                <c:pt idx="212">
                  <c:v>459.03964370607497</c:v>
                </c:pt>
                <c:pt idx="213">
                  <c:v>475.21854764683849</c:v>
                </c:pt>
                <c:pt idx="214">
                  <c:v>491.17838121228226</c:v>
                </c:pt>
                <c:pt idx="215">
                  <c:v>506.92255374292114</c:v>
                </c:pt>
                <c:pt idx="216">
                  <c:v>522.45436874346012</c:v>
                </c:pt>
                <c:pt idx="217">
                  <c:v>537.77702810712992</c:v>
                </c:pt>
                <c:pt idx="218">
                  <c:v>552.89363612709826</c:v>
                </c:pt>
                <c:pt idx="219">
                  <c:v>567.80720330774102</c:v>
                </c:pt>
                <c:pt idx="220">
                  <c:v>582.52064998766696</c:v>
                </c:pt>
                <c:pt idx="221">
                  <c:v>597.03680978556679</c:v>
                </c:pt>
                <c:pt idx="222">
                  <c:v>611.3584328792042</c:v>
                </c:pt>
                <c:pt idx="223">
                  <c:v>625.48818912716638</c:v>
                </c:pt>
                <c:pt idx="224">
                  <c:v>639.42867104234813</c:v>
                </c:pt>
                <c:pt idx="225">
                  <c:v>653.18239662554959</c:v>
                </c:pt>
                <c:pt idx="226">
                  <c:v>666.75181206701609</c:v>
                </c:pt>
                <c:pt idx="227">
                  <c:v>680.1392943232388</c:v>
                </c:pt>
                <c:pt idx="228">
                  <c:v>693.34715357586549</c:v>
                </c:pt>
                <c:pt idx="229">
                  <c:v>706.37763557913161</c:v>
                </c:pt>
                <c:pt idx="230">
                  <c:v>719.23292390181655</c:v>
                </c:pt>
                <c:pt idx="231">
                  <c:v>731.91514206935449</c:v>
                </c:pt>
                <c:pt idx="232">
                  <c:v>744.42635561137945</c:v>
                </c:pt>
                <c:pt idx="233">
                  <c:v>756.76857401965856</c:v>
                </c:pt>
                <c:pt idx="234">
                  <c:v>768.94375262106632</c:v>
                </c:pt>
                <c:pt idx="235">
                  <c:v>780.95379436997064</c:v>
                </c:pt>
                <c:pt idx="236">
                  <c:v>792.80055156414016</c:v>
                </c:pt>
                <c:pt idx="237">
                  <c:v>804.48582748803756</c:v>
                </c:pt>
                <c:pt idx="238">
                  <c:v>816.01137798713648</c:v>
                </c:pt>
                <c:pt idx="239">
                  <c:v>827.37891297668716</c:v>
                </c:pt>
                <c:pt idx="240">
                  <c:v>838.59009788815729</c:v>
                </c:pt>
                <c:pt idx="241">
                  <c:v>849.64655505638984</c:v>
                </c:pt>
                <c:pt idx="242">
                  <c:v>860.54986505034594</c:v>
                </c:pt>
                <c:pt idx="243">
                  <c:v>871.30156795013932</c:v>
                </c:pt>
                <c:pt idx="244">
                  <c:v>881.90316457291681</c:v>
                </c:pt>
                <c:pt idx="245">
                  <c:v>892.35611764999828</c:v>
                </c:pt>
                <c:pt idx="246">
                  <c:v>902.66185295755554</c:v>
                </c:pt>
                <c:pt idx="247">
                  <c:v>912.82176040298509</c:v>
                </c:pt>
                <c:pt idx="248">
                  <c:v>922.83719506901411</c:v>
                </c:pt>
                <c:pt idx="249">
                  <c:v>932.70947821746779</c:v>
                </c:pt>
                <c:pt idx="250">
                  <c:v>942.43989825452365</c:v>
                </c:pt>
                <c:pt idx="251">
                  <c:v>952.02971165918234</c:v>
                </c:pt>
                <c:pt idx="252">
                  <c:v>961.48014387659305</c:v>
                </c:pt>
                <c:pt idx="253">
                  <c:v>970.79239017778627</c:v>
                </c:pt>
                <c:pt idx="254">
                  <c:v>979.96761648728636</c:v>
                </c:pt>
                <c:pt idx="255">
                  <c:v>989.00696018000099</c:v>
                </c:pt>
                <c:pt idx="256">
                  <c:v>997.91153084871257</c:v>
                </c:pt>
                <c:pt idx="257">
                  <c:v>1006.6824110434319</c:v>
                </c:pt>
                <c:pt idx="258">
                  <c:v>1015.3206569838072</c:v>
                </c:pt>
                <c:pt idx="259">
                  <c:v>1023.8272992457272</c:v>
                </c:pt>
                <c:pt idx="260">
                  <c:v>1032.2033434231957</c:v>
                </c:pt>
                <c:pt idx="261">
                  <c:v>1040.4497707665073</c:v>
                </c:pt>
                <c:pt idx="262">
                  <c:v>1048.5675387976985</c:v>
                </c:pt>
                <c:pt idx="263">
                  <c:v>1056.5575819042072</c:v>
                </c:pt>
                <c:pt idx="264">
                  <c:v>1064.4208119116236</c:v>
                </c:pt>
                <c:pt idx="265">
                  <c:v>1072.1581186363771</c:v>
                </c:pt>
                <c:pt idx="266">
                  <c:v>1079.770370419164</c:v>
                </c:pt>
                <c:pt idx="267">
                  <c:v>1087.2584146398801</c:v>
                </c:pt>
                <c:pt idx="268">
                  <c:v>1094.6230782147918</c:v>
                </c:pt>
                <c:pt idx="269">
                  <c:v>1101.8651680766411</c:v>
                </c:pt>
                <c:pt idx="270">
                  <c:v>1108.9854716383527</c:v>
                </c:pt>
                <c:pt idx="271">
                  <c:v>1115.9847572409769</c:v>
                </c:pt>
                <c:pt idx="272">
                  <c:v>1122.8637745864796</c:v>
                </c:pt>
                <c:pt idx="273">
                  <c:v>1129.6232551559563</c:v>
                </c:pt>
                <c:pt idx="274">
                  <c:v>1136.2639126138315</c:v>
                </c:pt>
                <c:pt idx="275">
                  <c:v>1142.7864431985724</c:v>
                </c:pt>
                <c:pt idx="276">
                  <c:v>1149.1915261004287</c:v>
                </c:pt>
                <c:pt idx="277">
                  <c:v>1155.4798238266876</c:v>
                </c:pt>
                <c:pt idx="278">
                  <c:v>1161.6519825549137</c:v>
                </c:pt>
                <c:pt idx="279">
                  <c:v>1167.7086324746242</c:v>
                </c:pt>
                <c:pt idx="280">
                  <c:v>1173.6503881178335</c:v>
                </c:pt>
                <c:pt idx="281">
                  <c:v>1179.4778486788839</c:v>
                </c:pt>
                <c:pt idx="282">
                  <c:v>1185.1915983239655</c:v>
                </c:pt>
                <c:pt idx="283">
                  <c:v>1190.7922064907116</c:v>
                </c:pt>
                <c:pt idx="284">
                  <c:v>1196.2802281782454</c:v>
                </c:pt>
                <c:pt idx="285">
                  <c:v>1201.6562042280416</c:v>
                </c:pt>
                <c:pt idx="286">
                  <c:v>1206.9206615959536</c:v>
                </c:pt>
                <c:pt idx="287">
                  <c:v>1212.074113615749</c:v>
                </c:pt>
                <c:pt idx="288">
                  <c:v>1217.1170602544862</c:v>
                </c:pt>
                <c:pt idx="289">
                  <c:v>1222.049988360058</c:v>
                </c:pt>
                <c:pt idx="290">
                  <c:v>1226.8733719012212</c:v>
                </c:pt>
                <c:pt idx="291">
                  <c:v>1231.5876722004245</c:v>
                </c:pt>
                <c:pt idx="292">
                  <c:v>1236.1933381597455</c:v>
                </c:pt>
                <c:pt idx="293">
                  <c:v>1240.6908064802408</c:v>
                </c:pt>
                <c:pt idx="294">
                  <c:v>1245.0805018750166</c:v>
                </c:pt>
                <c:pt idx="295">
                  <c:v>1249.3628372763205</c:v>
                </c:pt>
                <c:pt idx="296">
                  <c:v>1253.5382140369641</c:v>
                </c:pt>
                <c:pt idx="297">
                  <c:v>1257.6070221263801</c:v>
                </c:pt>
                <c:pt idx="298">
                  <c:v>1261.5696403216336</c:v>
                </c:pt>
                <c:pt idx="299">
                  <c:v>1265.4264363937018</c:v>
                </c:pt>
                <c:pt idx="300">
                  <c:v>1269.177767289355</c:v>
                </c:pt>
                <c:pt idx="301">
                  <c:v>1272.8239793089767</c:v>
                </c:pt>
                <c:pt idx="302">
                  <c:v>1276.3654082806811</c:v>
                </c:pt>
                <c:pt idx="303">
                  <c:v>1279.8023797310921</c:v>
                </c:pt>
                <c:pt idx="304">
                  <c:v>1283.1352090531809</c:v>
                </c:pt>
                <c:pt idx="305">
                  <c:v>1286.364201671573</c:v>
                </c:pt>
                <c:pt idx="306">
                  <c:v>1289.4896532057635</c:v>
                </c:pt>
                <c:pt idx="307">
                  <c:v>1292.5118496317145</c:v>
                </c:pt>
                <c:pt idx="308">
                  <c:v>1295.43106744234</c:v>
                </c:pt>
                <c:pt idx="309">
                  <c:v>1298.247573807424</c:v>
                </c:pt>
                <c:pt idx="310">
                  <c:v>1300.961626733563</c:v>
                </c:pt>
                <c:pt idx="311">
                  <c:v>1303.5734752247736</c:v>
                </c:pt>
                <c:pt idx="312">
                  <c:v>1306.0833594444616</c:v>
                </c:pt>
                <c:pt idx="313">
                  <c:v>1308.491510879508</c:v>
                </c:pt>
                <c:pt idx="314">
                  <c:v>1310.7981525072958</c:v>
                </c:pt>
                <c:pt idx="315">
                  <c:v>1313.0034989665689</c:v>
                </c:pt>
                <c:pt idx="316">
                  <c:v>1315.107756733094</c:v>
                </c:pt>
                <c:pt idx="317">
                  <c:v>1317.1111243011665</c:v>
                </c:pt>
                <c:pt idx="318">
                  <c:v>1319.0137923720883</c:v>
                </c:pt>
                <c:pt idx="319">
                  <c:v>1320.81594405082</c:v>
                </c:pt>
                <c:pt idx="320">
                  <c:v>1322.51775505208</c:v>
                </c:pt>
                <c:pt idx="321">
                  <c:v>1324.1193939172363</c:v>
                </c:pt>
                <c:pt idx="322">
                  <c:v>1325.621022243381</c:v>
                </c:pt>
                <c:pt idx="323">
                  <c:v>1327.0227949260161</c:v>
                </c:pt>
                <c:pt idx="324">
                  <c:v>1328.3248604167791</c:v>
                </c:pt>
                <c:pt idx="325">
                  <c:v>1329.5273609976141</c:v>
                </c:pt>
                <c:pt idx="326">
                  <c:v>1330.6304330727162</c:v>
                </c:pt>
                <c:pt idx="327">
                  <c:v>1331.6342074794536</c:v>
                </c:pt>
                <c:pt idx="328">
                  <c:v>1332.5388098192857</c:v>
                </c:pt>
                <c:pt idx="329">
                  <c:v>1333.3443608094392</c:v>
                </c:pt>
                <c:pt idx="330">
                  <c:v>1334.0509766557805</c:v>
                </c:pt>
                <c:pt idx="331">
                  <c:v>1334.6587694469183</c:v>
                </c:pt>
                <c:pt idx="332">
                  <c:v>1335.1678475691085</c:v>
                </c:pt>
                <c:pt idx="333">
                  <c:v>1335.5783161410031</c:v>
                </c:pt>
                <c:pt idx="334">
                  <c:v>1335.8902774667242</c:v>
                </c:pt>
                <c:pt idx="335">
                  <c:v>1336.1038315051574</c:v>
                </c:pt>
                <c:pt idx="336">
                  <c:v>1336.2190763527988</c:v>
                </c:pt>
                <c:pt idx="337">
                  <c:v>1336.2361087369588</c:v>
                </c:pt>
                <c:pt idx="338">
                  <c:v>1336.1550245156895</c:v>
                </c:pt>
                <c:pt idx="339">
                  <c:v>1335.9759191804633</c:v>
                </c:pt>
                <c:pt idx="340">
                  <c:v>1335.6988883574356</c:v>
                </c:pt>
                <c:pt idx="341">
                  <c:v>1335.3240283030686</c:v>
                </c:pt>
                <c:pt idx="342">
                  <c:v>1334.8514363899967</c:v>
                </c:pt>
                <c:pt idx="343">
                  <c:v>1334.2812115792638</c:v>
                </c:pt>
                <c:pt idx="344">
                  <c:v>1333.6134548754326</c:v>
                </c:pt>
                <c:pt idx="345">
                  <c:v>1332.8482697615457</c:v>
                </c:pt>
                <c:pt idx="346">
                  <c:v>1331.9857626114576</c:v>
                </c:pt>
                <c:pt idx="347">
                  <c:v>1331.0260430776407</c:v>
                </c:pt>
                <c:pt idx="348">
                  <c:v>1329.9692244531468</c:v>
                </c:pt>
                <c:pt idx="349">
                  <c:v>1328.8154240069639</c:v>
                </c:pt>
                <c:pt idx="350">
                  <c:v>1327.5647632925168</c:v>
                </c:pt>
                <c:pt idx="351">
                  <c:v>1326.2173684295087</c:v>
                </c:pt>
                <c:pt idx="352">
                  <c:v>1324.7733703596743</c:v>
                </c:pt>
                <c:pt idx="353">
                  <c:v>1323.2329050773169</c:v>
                </c:pt>
                <c:pt idx="354">
                  <c:v>1321.5961138357306</c:v>
                </c:pt>
                <c:pt idx="355">
                  <c:v>1319.8631433307712</c:v>
                </c:pt>
                <c:pt idx="356">
                  <c:v>1318.0341458629366</c:v>
                </c:pt>
                <c:pt idx="357">
                  <c:v>1316.1092794793781</c:v>
                </c:pt>
                <c:pt idx="358">
                  <c:v>1314.088708097265</c:v>
                </c:pt>
                <c:pt idx="359">
                  <c:v>1311.9726016099094</c:v>
                </c:pt>
                <c:pt idx="360">
                  <c:v>1309.7611359770096</c:v>
                </c:pt>
                <c:pt idx="361">
                  <c:v>1307.4544933003071</c:v>
                </c:pt>
                <c:pt idx="362">
                  <c:v>1305.0528618858759</c:v>
                </c:pt>
                <c:pt idx="363">
                  <c:v>1302.5564362941836</c:v>
                </c:pt>
                <c:pt idx="364">
                  <c:v>1299.9654173789777</c:v>
                </c:pt>
                <c:pt idx="365">
                  <c:v>1297.2800123159634</c:v>
                </c:pt>
                <c:pt idx="366">
                  <c:v>1294.5004346221647</c:v>
                </c:pt>
                <c:pt idx="367">
                  <c:v>1291.626904166769</c:v>
                </c:pt>
                <c:pt idx="368">
                  <c:v>1288.659647174195</c:v>
                </c:pt>
                <c:pt idx="369">
                  <c:v>1285.5988962200433</c:v>
                </c:pt>
                <c:pt idx="370">
                  <c:v>1282.4448902205311</c:v>
                </c:pt>
                <c:pt idx="371">
                  <c:v>1279.1978744159514</c:v>
                </c:pt>
                <c:pt idx="372">
                  <c:v>1275.8581003486486</c:v>
                </c:pt>
                <c:pt idx="373">
                  <c:v>1272.4258258359432</c:v>
                </c:pt>
                <c:pt idx="374">
                  <c:v>1268.9013149384114</c:v>
                </c:pt>
                <c:pt idx="375">
                  <c:v>1265.2848379238696</c:v>
                </c:pt>
                <c:pt idx="376">
                  <c:v>1261.5766712273921</c:v>
                </c:pt>
                <c:pt idx="377">
                  <c:v>1257.7770974076509</c:v>
                </c:pt>
                <c:pt idx="378">
                  <c:v>1253.8864050998436</c:v>
                </c:pt>
                <c:pt idx="379">
                  <c:v>1249.9048889654484</c:v>
                </c:pt>
                <c:pt idx="380">
                  <c:v>1245.8328496390241</c:v>
                </c:pt>
                <c:pt idx="381">
                  <c:v>1241.6705936722515</c:v>
                </c:pt>
                <c:pt idx="382">
                  <c:v>1237.4184334754013</c:v>
                </c:pt>
                <c:pt idx="383">
                  <c:v>1233.0766872563902</c:v>
                </c:pt>
                <c:pt idx="384">
                  <c:v>1228.6456789575777</c:v>
                </c:pt>
                <c:pt idx="385">
                  <c:v>1224.1257381904466</c:v>
                </c:pt>
                <c:pt idx="386">
                  <c:v>1219.517200168292</c:v>
                </c:pt>
                <c:pt idx="387">
                  <c:v>1214.820405637043</c:v>
                </c:pt>
                <c:pt idx="388">
                  <c:v>1210.0357008043243</c:v>
                </c:pt>
                <c:pt idx="389">
                  <c:v>1205.1634372668641</c:v>
                </c:pt>
                <c:pt idx="390">
                  <c:v>1200.2039719363443</c:v>
                </c:pt>
                <c:pt idx="391">
                  <c:v>1195.1576669637845</c:v>
                </c:pt>
                <c:pt idx="392">
                  <c:v>1190.0248896625462</c:v>
                </c:pt>
                <c:pt idx="393">
                  <c:v>1184.8060124300353</c:v>
                </c:pt>
                <c:pt idx="394">
                  <c:v>1179.501412668184</c:v>
                </c:pt>
                <c:pt idx="395">
                  <c:v>1174.1114727027825</c:v>
                </c:pt>
                <c:pt idx="396">
                  <c:v>1168.6365797017302</c:v>
                </c:pt>
                <c:pt idx="397">
                  <c:v>1163.0771255922732</c:v>
                </c:pt>
                <c:pt idx="398">
                  <c:v>1157.4335069772926</c:v>
                </c:pt>
                <c:pt idx="399">
                  <c:v>1151.7061250507038</c:v>
                </c:pt>
                <c:pt idx="400">
                  <c:v>1145.895385512026</c:v>
                </c:pt>
                <c:pt idx="401">
                  <c:v>1140.00169848018</c:v>
                </c:pt>
                <c:pt idx="402">
                  <c:v>1134.0254784065673</c:v>
                </c:pt>
                <c:pt idx="403">
                  <c:v>1127.9671439874853</c:v>
                </c:pt>
                <c:pt idx="404">
                  <c:v>1121.8271180759302</c:v>
                </c:pt>
                <c:pt idx="405">
                  <c:v>1115.6058275928378</c:v>
                </c:pt>
                <c:pt idx="406">
                  <c:v>1109.3037034378101</c:v>
                </c:pt>
                <c:pt idx="407">
                  <c:v>1102.9211803993776</c:v>
                </c:pt>
                <c:pt idx="408">
                  <c:v>1096.4586970648415</c:v>
                </c:pt>
                <c:pt idx="409">
                  <c:v>1089.916695729743</c:v>
                </c:pt>
                <c:pt idx="410">
                  <c:v>1083.2956223070028</c:v>
                </c:pt>
                <c:pt idx="411">
                  <c:v>1076.5959262357749</c:v>
                </c:pt>
                <c:pt idx="412">
                  <c:v>1069.8180603900576</c:v>
                </c:pt>
                <c:pt idx="413">
                  <c:v>1062.962480987102</c:v>
                </c:pt>
                <c:pt idx="414">
                  <c:v>1056.0296474956597</c:v>
                </c:pt>
                <c:pt idx="415">
                  <c:v>1049.0200225441092</c:v>
                </c:pt>
                <c:pt idx="416">
                  <c:v>1041.9340718285016</c:v>
                </c:pt>
                <c:pt idx="417">
                  <c:v>1034.7722640205607</c:v>
                </c:pt>
                <c:pt idx="418">
                  <c:v>1027.5350706756778</c:v>
                </c:pt>
                <c:pt idx="419">
                  <c:v>1020.2229661409385</c:v>
                </c:pt>
                <c:pt idx="420">
                  <c:v>1012.8364274632144</c:v>
                </c:pt>
                <c:pt idx="421">
                  <c:v>1005.3759342973584</c:v>
                </c:pt>
                <c:pt idx="422">
                  <c:v>997.84196881453704</c:v>
                </c:pt>
                <c:pt idx="423">
                  <c:v>990.23501561073329</c:v>
                </c:pt>
                <c:pt idx="424">
                  <c:v>982.55556161545417</c:v>
                </c:pt>
                <c:pt idx="425">
                  <c:v>974.80409600067549</c:v>
                </c:pt>
                <c:pt idx="426">
                  <c:v>966.98111009005538</c:v>
                </c:pt>
                <c:pt idx="427">
                  <c:v>959.08709726844813</c:v>
                </c:pt>
                <c:pt idx="428">
                  <c:v>951.12255289174925</c:v>
                </c:pt>
                <c:pt idx="429">
                  <c:v>943.08797419710118</c:v>
                </c:pt>
                <c:pt idx="430">
                  <c:v>934.98386021348927</c:v>
                </c:pt>
                <c:pt idx="431">
                  <c:v>926.81071167275638</c:v>
                </c:pt>
                <c:pt idx="432">
                  <c:v>918.56903092106461</c:v>
                </c:pt>
                <c:pt idx="433">
                  <c:v>910.25932183083069</c:v>
                </c:pt>
                <c:pt idx="434">
                  <c:v>901.88208971316203</c:v>
                </c:pt>
                <c:pt idx="435">
                  <c:v>893.43784123081946</c:v>
                </c:pt>
                <c:pt idx="436">
                  <c:v>884.92708431173196</c:v>
                </c:pt>
                <c:pt idx="437">
                  <c:v>876.3503280630872</c:v>
                </c:pt>
                <c:pt idx="438">
                  <c:v>867.70808268602309</c:v>
                </c:pt>
                <c:pt idx="439">
                  <c:v>859.00085939094288</c:v>
                </c:pt>
                <c:pt idx="440">
                  <c:v>850.22917031347595</c:v>
                </c:pt>
                <c:pt idx="441">
                  <c:v>841.3935284311076</c:v>
                </c:pt>
                <c:pt idx="442">
                  <c:v>832.49444748049757</c:v>
                </c:pt>
                <c:pt idx="443">
                  <c:v>823.53244187550877</c:v>
                </c:pt>
                <c:pt idx="444">
                  <c:v>814.50802662596618</c:v>
                </c:pt>
                <c:pt idx="445">
                  <c:v>805.42171725716491</c:v>
                </c:pt>
                <c:pt idx="446">
                  <c:v>796.2740297301458</c:v>
                </c:pt>
                <c:pt idx="447">
                  <c:v>787.06548036275706</c:v>
                </c:pt>
                <c:pt idx="448">
                  <c:v>777.79658575151893</c:v>
                </c:pt>
                <c:pt idx="449">
                  <c:v>768.46786269430788</c:v>
                </c:pt>
                <c:pt idx="450">
                  <c:v>759.07982811387672</c:v>
                </c:pt>
                <c:pt idx="451">
                  <c:v>749.63299898222522</c:v>
                </c:pt>
                <c:pt idx="452">
                  <c:v>740.12789224583707</c:v>
                </c:pt>
                <c:pt idx="453">
                  <c:v>730.56502475179582</c:v>
                </c:pt>
                <c:pt idx="454">
                  <c:v>720.94491317479424</c:v>
                </c:pt>
                <c:pt idx="455">
                  <c:v>711.26807394504965</c:v>
                </c:pt>
                <c:pt idx="456">
                  <c:v>701.53502317713674</c:v>
                </c:pt>
                <c:pt idx="457">
                  <c:v>691.74627659975044</c:v>
                </c:pt>
                <c:pt idx="458">
                  <c:v>681.90234948640853</c:v>
                </c:pt>
                <c:pt idx="459">
                  <c:v>672.00375658710516</c:v>
                </c:pt>
                <c:pt idx="460">
                  <c:v>662.05101206092456</c:v>
                </c:pt>
                <c:pt idx="461">
                  <c:v>652.04462940962412</c:v>
                </c:pt>
                <c:pt idx="462">
                  <c:v>641.98512141219487</c:v>
                </c:pt>
                <c:pt idx="463">
                  <c:v>631.87300006040789</c:v>
                </c:pt>
                <c:pt idx="464">
                  <c:v>621.70877649535328</c:v>
                </c:pt>
                <c:pt idx="465">
                  <c:v>611.49296094497913</c:v>
                </c:pt>
                <c:pt idx="466">
                  <c:v>601.22606266263551</c:v>
                </c:pt>
                <c:pt idx="467">
                  <c:v>590.90858986663045</c:v>
                </c:pt>
                <c:pt idx="468">
                  <c:v>580.54104968080151</c:v>
                </c:pt>
                <c:pt idx="469">
                  <c:v>570.12394807610826</c:v>
                </c:pt>
                <c:pt idx="470">
                  <c:v>559.65778981324945</c:v>
                </c:pt>
                <c:pt idx="471">
                  <c:v>549.14307838630828</c:v>
                </c:pt>
                <c:pt idx="472">
                  <c:v>538.58031596742831</c:v>
                </c:pt>
                <c:pt idx="473">
                  <c:v>527.97000335252278</c:v>
                </c:pt>
                <c:pt idx="474">
                  <c:v>517.3126399080187</c:v>
                </c:pt>
                <c:pt idx="475">
                  <c:v>506.60872351863782</c:v>
                </c:pt>
                <c:pt idx="476">
                  <c:v>495.85875053621459</c:v>
                </c:pt>
                <c:pt idx="477">
                  <c:v>485.06321572955198</c:v>
                </c:pt>
                <c:pt idx="478">
                  <c:v>474.22261223531467</c:v>
                </c:pt>
                <c:pt idx="479">
                  <c:v>463.33743150995963</c:v>
                </c:pt>
                <c:pt idx="480">
                  <c:v>452.40816328270256</c:v>
                </c:pt>
                <c:pt idx="481">
                  <c:v>441.43529550951916</c:v>
                </c:pt>
                <c:pt idx="482">
                  <c:v>430.41931432817921</c:v>
                </c:pt>
                <c:pt idx="483">
                  <c:v>419.36070401431112</c:v>
                </c:pt>
                <c:pt idx="484">
                  <c:v>408.25994693849441</c:v>
                </c:pt>
                <c:pt idx="485">
                  <c:v>397.11752352437719</c:v>
                </c:pt>
                <c:pt idx="486">
                  <c:v>385.93391220781467</c:v>
                </c:pt>
                <c:pt idx="487">
                  <c:v>374.70958939702547</c:v>
                </c:pt>
                <c:pt idx="488">
                  <c:v>363.44502943376108</c:v>
                </c:pt>
                <c:pt idx="489">
                  <c:v>352.14070455548421</c:v>
                </c:pt>
                <c:pt idx="490">
                  <c:v>340.79708485855076</c:v>
                </c:pt>
                <c:pt idx="491">
                  <c:v>329.41463826239061</c:v>
                </c:pt>
                <c:pt idx="492">
                  <c:v>317.99383047468115</c:v>
                </c:pt>
                <c:pt idx="493">
                  <c:v>306.53512495750829</c:v>
                </c:pt>
                <c:pt idx="494">
                  <c:v>295.03898289450791</c:v>
                </c:pt>
                <c:pt idx="495">
                  <c:v>283.50586315898215</c:v>
                </c:pt>
                <c:pt idx="496">
                  <c:v>271.93622228298307</c:v>
                </c:pt>
                <c:pt idx="497">
                  <c:v>260.33051442735689</c:v>
                </c:pt>
                <c:pt idx="498">
                  <c:v>248.68919135274152</c:v>
                </c:pt>
                <c:pt idx="499">
                  <c:v>237.01270239150983</c:v>
                </c:pt>
                <c:pt idx="500">
                  <c:v>225.3014944206505</c:v>
                </c:pt>
                <c:pt idx="501">
                  <c:v>213.55601183557886</c:v>
                </c:pt>
                <c:pt idx="502">
                  <c:v>201.77669652486892</c:v>
                </c:pt>
                <c:pt idx="503">
                  <c:v>189.96398784589863</c:v>
                </c:pt>
                <c:pt idx="504">
                  <c:v>178.11832260139906</c:v>
                </c:pt>
                <c:pt idx="505">
                  <c:v>166.24013501689907</c:v>
                </c:pt>
                <c:pt idx="506">
                  <c:v>154.32985671905604</c:v>
                </c:pt>
                <c:pt idx="507">
                  <c:v>142.38791671486348</c:v>
                </c:pt>
                <c:pt idx="508">
                  <c:v>130.41474137172617</c:v>
                </c:pt>
                <c:pt idx="509">
                  <c:v>118.4107543983929</c:v>
                </c:pt>
                <c:pt idx="510">
                  <c:v>106.37637682673738</c:v>
                </c:pt>
                <c:pt idx="511">
                  <c:v>94.31202699437722</c:v>
                </c:pt>
                <c:pt idx="512">
                  <c:v>82.218120528120721</c:v>
                </c:pt>
                <c:pt idx="513">
                  <c:v>70.095070328231827</c:v>
                </c:pt>
                <c:pt idx="514">
                  <c:v>57.943286553502297</c:v>
                </c:pt>
                <c:pt idx="515">
                  <c:v>45.763176607121189</c:v>
                </c:pt>
                <c:pt idx="516">
                  <c:v>33.555145123330803</c:v>
                </c:pt>
                <c:pt idx="517">
                  <c:v>21.319593954858657</c:v>
                </c:pt>
                <c:pt idx="518">
                  <c:v>9.0569221611146666</c:v>
                </c:pt>
                <c:pt idx="519">
                  <c:v>-3.232474002857165</c:v>
                </c:pt>
                <c:pt idx="520">
                  <c:v>-3.2447766755611598</c:v>
                </c:pt>
                <c:pt idx="521">
                  <c:v>-3.2570793743998752</c:v>
                </c:pt>
                <c:pt idx="522">
                  <c:v>-3.2693820993729226</c:v>
                </c:pt>
                <c:pt idx="523">
                  <c:v>-3.2816848504799134</c:v>
                </c:pt>
                <c:pt idx="524">
                  <c:v>-3.2939876277204601</c:v>
                </c:pt>
                <c:pt idx="525">
                  <c:v>-3.3062904310941734</c:v>
                </c:pt>
                <c:pt idx="526">
                  <c:v>-3.3185932606006654</c:v>
                </c:pt>
                <c:pt idx="527">
                  <c:v>-3.3308961162395478</c:v>
                </c:pt>
                <c:pt idx="528">
                  <c:v>-3.3431989980104322</c:v>
                </c:pt>
                <c:pt idx="529">
                  <c:v>-3.3555019059129303</c:v>
                </c:pt>
                <c:pt idx="530">
                  <c:v>-3.367804839946654</c:v>
                </c:pt>
                <c:pt idx="531">
                  <c:v>-3.3801078001112148</c:v>
                </c:pt>
                <c:pt idx="532">
                  <c:v>-3.3924107864062241</c:v>
                </c:pt>
                <c:pt idx="533">
                  <c:v>-3.4047137988312941</c:v>
                </c:pt>
                <c:pt idx="534">
                  <c:v>-3.4170168373860359</c:v>
                </c:pt>
                <c:pt idx="535">
                  <c:v>-3.4293199020700618</c:v>
                </c:pt>
                <c:pt idx="536">
                  <c:v>-3.4416229928829831</c:v>
                </c:pt>
                <c:pt idx="537">
                  <c:v>-3.4539261098244114</c:v>
                </c:pt>
                <c:pt idx="538">
                  <c:v>-3.4662292528939589</c:v>
                </c:pt>
                <c:pt idx="539">
                  <c:v>-3.478532422091237</c:v>
                </c:pt>
                <c:pt idx="540">
                  <c:v>-3.4908356174158572</c:v>
                </c:pt>
                <c:pt idx="541">
                  <c:v>-3.5031388388674314</c:v>
                </c:pt>
                <c:pt idx="542">
                  <c:v>-3.5154420864455713</c:v>
                </c:pt>
                <c:pt idx="543">
                  <c:v>-3.5277453601498885</c:v>
                </c:pt>
                <c:pt idx="544">
                  <c:v>-3.5400486599799947</c:v>
                </c:pt>
                <c:pt idx="545">
                  <c:v>-3.5523519859355019</c:v>
                </c:pt>
                <c:pt idx="546">
                  <c:v>-3.564655338016022</c:v>
                </c:pt>
                <c:pt idx="547">
                  <c:v>-3.5769587162211662</c:v>
                </c:pt>
                <c:pt idx="548">
                  <c:v>-3.5892621205505466</c:v>
                </c:pt>
                <c:pt idx="549">
                  <c:v>-3.6015655510037745</c:v>
                </c:pt>
                <c:pt idx="550">
                  <c:v>-3.6138690075804618</c:v>
                </c:pt>
                <c:pt idx="551">
                  <c:v>-3.6261724902802204</c:v>
                </c:pt>
                <c:pt idx="552">
                  <c:v>-3.6384759991026621</c:v>
                </c:pt>
                <c:pt idx="553">
                  <c:v>-3.6507795340473983</c:v>
                </c:pt>
                <c:pt idx="554">
                  <c:v>-3.663083095114041</c:v>
                </c:pt>
                <c:pt idx="555">
                  <c:v>-3.6753866823022019</c:v>
                </c:pt>
                <c:pt idx="556">
                  <c:v>-3.6876902956114925</c:v>
                </c:pt>
                <c:pt idx="557">
                  <c:v>-3.6999939350415252</c:v>
                </c:pt>
                <c:pt idx="558">
                  <c:v>-3.7122976005919113</c:v>
                </c:pt>
                <c:pt idx="559">
                  <c:v>-3.7246012922622622</c:v>
                </c:pt>
                <c:pt idx="560">
                  <c:v>-3.7369050100521903</c:v>
                </c:pt>
                <c:pt idx="561">
                  <c:v>-3.749208753961307</c:v>
                </c:pt>
                <c:pt idx="562">
                  <c:v>-3.7615125239892242</c:v>
                </c:pt>
                <c:pt idx="563">
                  <c:v>-3.7738163201355537</c:v>
                </c:pt>
                <c:pt idx="564">
                  <c:v>-3.7861201423999074</c:v>
                </c:pt>
                <c:pt idx="565">
                  <c:v>-3.7984239907818966</c:v>
                </c:pt>
                <c:pt idx="566">
                  <c:v>-3.8107278652811334</c:v>
                </c:pt>
                <c:pt idx="567">
                  <c:v>-3.8230317658972295</c:v>
                </c:pt>
                <c:pt idx="568">
                  <c:v>-3.8353356926297968</c:v>
                </c:pt>
                <c:pt idx="569">
                  <c:v>-3.8476396454784472</c:v>
                </c:pt>
                <c:pt idx="570">
                  <c:v>-3.859943624442792</c:v>
                </c:pt>
                <c:pt idx="571">
                  <c:v>-3.8722476295224433</c:v>
                </c:pt>
                <c:pt idx="572">
                  <c:v>-3.8845516607170127</c:v>
                </c:pt>
                <c:pt idx="573">
                  <c:v>-3.8968557180261123</c:v>
                </c:pt>
                <c:pt idx="574">
                  <c:v>-3.9091598014493538</c:v>
                </c:pt>
                <c:pt idx="575">
                  <c:v>-3.9214639109863492</c:v>
                </c:pt>
                <c:pt idx="576">
                  <c:v>-3.9337680466367098</c:v>
                </c:pt>
                <c:pt idx="577">
                  <c:v>-3.9460722084000479</c:v>
                </c:pt>
                <c:pt idx="578">
                  <c:v>-3.958376396275975</c:v>
                </c:pt>
                <c:pt idx="579">
                  <c:v>-3.970680610264103</c:v>
                </c:pt>
                <c:pt idx="580">
                  <c:v>-3.9829848503640437</c:v>
                </c:pt>
                <c:pt idx="581">
                  <c:v>-3.995289116575409</c:v>
                </c:pt>
                <c:pt idx="582">
                  <c:v>-4.0075934088978107</c:v>
                </c:pt>
                <c:pt idx="583">
                  <c:v>-4.0198977273308607</c:v>
                </c:pt>
                <c:pt idx="584">
                  <c:v>-4.0322020718741705</c:v>
                </c:pt>
                <c:pt idx="585">
                  <c:v>-4.0445064425273518</c:v>
                </c:pt>
                <c:pt idx="586">
                  <c:v>-4.0568108392900175</c:v>
                </c:pt>
                <c:pt idx="587">
                  <c:v>-4.0691152621617785</c:v>
                </c:pt>
                <c:pt idx="588">
                  <c:v>-4.0814197111422468</c:v>
                </c:pt>
                <c:pt idx="589">
                  <c:v>-4.0937241862310341</c:v>
                </c:pt>
                <c:pt idx="590">
                  <c:v>-4.1060286874277523</c:v>
                </c:pt>
                <c:pt idx="591">
                  <c:v>-4.1183332147320133</c:v>
                </c:pt>
                <c:pt idx="592">
                  <c:v>-4.130637768143429</c:v>
                </c:pt>
                <c:pt idx="593">
                  <c:v>-4.1429423476616121</c:v>
                </c:pt>
                <c:pt idx="594">
                  <c:v>-4.1552469532861736</c:v>
                </c:pt>
                <c:pt idx="595">
                  <c:v>-4.1675515850167253</c:v>
                </c:pt>
                <c:pt idx="596">
                  <c:v>-4.1798562428528792</c:v>
                </c:pt>
                <c:pt idx="597">
                  <c:v>-4.192160926794247</c:v>
                </c:pt>
                <c:pt idx="598">
                  <c:v>-4.2044656368404407</c:v>
                </c:pt>
                <c:pt idx="599">
                  <c:v>-4.2167703729910722</c:v>
                </c:pt>
                <c:pt idx="600">
                  <c:v>-4.2290751352457532</c:v>
                </c:pt>
                <c:pt idx="601">
                  <c:v>-4.2413799236040957</c:v>
                </c:pt>
                <c:pt idx="602">
                  <c:v>-4.2536847380657115</c:v>
                </c:pt>
                <c:pt idx="603">
                  <c:v>-4.2659895786302124</c:v>
                </c:pt>
                <c:pt idx="604">
                  <c:v>-4.2782944452972105</c:v>
                </c:pt>
                <c:pt idx="605">
                  <c:v>-4.2905993380663174</c:v>
                </c:pt>
                <c:pt idx="606">
                  <c:v>-4.3029042569371452</c:v>
                </c:pt>
                <c:pt idx="607">
                  <c:v>-4.3152092019093056</c:v>
                </c:pt>
                <c:pt idx="608">
                  <c:v>-4.3275141729824114</c:v>
                </c:pt>
                <c:pt idx="609">
                  <c:v>-4.3398191701560735</c:v>
                </c:pt>
                <c:pt idx="610">
                  <c:v>-4.352124193429904</c:v>
                </c:pt>
                <c:pt idx="611">
                  <c:v>-4.3644292428035154</c:v>
                </c:pt>
                <c:pt idx="612">
                  <c:v>-4.3767343182765188</c:v>
                </c:pt>
                <c:pt idx="613">
                  <c:v>-4.3890394198485261</c:v>
                </c:pt>
                <c:pt idx="614">
                  <c:v>-4.4013445475191499</c:v>
                </c:pt>
                <c:pt idx="615">
                  <c:v>-4.4136497012880014</c:v>
                </c:pt>
                <c:pt idx="616">
                  <c:v>-4.4259548811546932</c:v>
                </c:pt>
                <c:pt idx="617">
                  <c:v>-4.4382600871188362</c:v>
                </c:pt>
                <c:pt idx="618">
                  <c:v>-4.4505653191800434</c:v>
                </c:pt>
                <c:pt idx="619">
                  <c:v>-4.4628705773379265</c:v>
                </c:pt>
                <c:pt idx="620">
                  <c:v>-4.4751758615920973</c:v>
                </c:pt>
                <c:pt idx="621">
                  <c:v>-4.4874811719421679</c:v>
                </c:pt>
                <c:pt idx="622">
                  <c:v>-4.49978650838775</c:v>
                </c:pt>
                <c:pt idx="623">
                  <c:v>-4.5120918709284554</c:v>
                </c:pt>
                <c:pt idx="624">
                  <c:v>-4.5243972595638962</c:v>
                </c:pt>
                <c:pt idx="625">
                  <c:v>-4.536702674293684</c:v>
                </c:pt>
                <c:pt idx="626">
                  <c:v>-4.5490081151174309</c:v>
                </c:pt>
                <c:pt idx="627">
                  <c:v>-4.5613135820347495</c:v>
                </c:pt>
                <c:pt idx="628">
                  <c:v>-4.5736190750452508</c:v>
                </c:pt>
                <c:pt idx="629">
                  <c:v>-4.5859245941485476</c:v>
                </c:pt>
                <c:pt idx="630">
                  <c:v>-4.5982301393442517</c:v>
                </c:pt>
                <c:pt idx="631">
                  <c:v>-4.6105357106319742</c:v>
                </c:pt>
                <c:pt idx="632">
                  <c:v>-4.6228413080113278</c:v>
                </c:pt>
                <c:pt idx="633">
                  <c:v>-4.6351469314819242</c:v>
                </c:pt>
                <c:pt idx="634">
                  <c:v>-4.6474525810433756</c:v>
                </c:pt>
                <c:pt idx="635">
                  <c:v>-4.6597582566952944</c:v>
                </c:pt>
                <c:pt idx="636">
                  <c:v>-4.6720639584372918</c:v>
                </c:pt>
                <c:pt idx="637">
                  <c:v>-4.6843696862689796</c:v>
                </c:pt>
                <c:pt idx="638">
                  <c:v>-4.6966754401899706</c:v>
                </c:pt>
                <c:pt idx="639">
                  <c:v>-4.7089812201998766</c:v>
                </c:pt>
                <c:pt idx="640">
                  <c:v>-4.7212870262983095</c:v>
                </c:pt>
                <c:pt idx="641">
                  <c:v>-4.7335928584848812</c:v>
                </c:pt>
                <c:pt idx="642">
                  <c:v>-4.7458987167592035</c:v>
                </c:pt>
                <c:pt idx="643">
                  <c:v>-4.7582046011208883</c:v>
                </c:pt>
                <c:pt idx="644">
                  <c:v>-4.7705105115695483</c:v>
                </c:pt>
                <c:pt idx="645">
                  <c:v>-4.7828164481047946</c:v>
                </c:pt>
                <c:pt idx="646">
                  <c:v>-4.7951224107262398</c:v>
                </c:pt>
                <c:pt idx="647">
                  <c:v>-4.8074283994334959</c:v>
                </c:pt>
                <c:pt idx="648">
                  <c:v>-4.8197344142261747</c:v>
                </c:pt>
                <c:pt idx="649">
                  <c:v>-4.832040455103888</c:v>
                </c:pt>
                <c:pt idx="650">
                  <c:v>-4.8443465220662487</c:v>
                </c:pt>
                <c:pt idx="651">
                  <c:v>-4.8566526151128677</c:v>
                </c:pt>
                <c:pt idx="652">
                  <c:v>-4.8689587342433578</c:v>
                </c:pt>
                <c:pt idx="653">
                  <c:v>-4.8812648794573308</c:v>
                </c:pt>
                <c:pt idx="654">
                  <c:v>-4.8935710507543986</c:v>
                </c:pt>
                <c:pt idx="655">
                  <c:v>-4.905877248134173</c:v>
                </c:pt>
                <c:pt idx="656">
                  <c:v>-4.918183471596266</c:v>
                </c:pt>
                <c:pt idx="657">
                  <c:v>-4.9304897211402903</c:v>
                </c:pt>
                <c:pt idx="658">
                  <c:v>-4.9427959967658577</c:v>
                </c:pt>
                <c:pt idx="659">
                  <c:v>-4.9551022984725801</c:v>
                </c:pt>
                <c:pt idx="660">
                  <c:v>-4.9674086262600694</c:v>
                </c:pt>
                <c:pt idx="661">
                  <c:v>-4.9797149801279375</c:v>
                </c:pt>
                <c:pt idx="662">
                  <c:v>-4.992021360075797</c:v>
                </c:pt>
                <c:pt idx="663">
                  <c:v>-5.0043277661032599</c:v>
                </c:pt>
                <c:pt idx="664">
                  <c:v>-5.0166341982099381</c:v>
                </c:pt>
                <c:pt idx="665">
                  <c:v>-5.0289406563954433</c:v>
                </c:pt>
                <c:pt idx="666">
                  <c:v>-5.0412471406593875</c:v>
                </c:pt>
                <c:pt idx="667">
                  <c:v>-5.0535536510013834</c:v>
                </c:pt>
                <c:pt idx="668">
                  <c:v>-5.0658601874210429</c:v>
                </c:pt>
                <c:pt idx="669">
                  <c:v>-5.0781667499179779</c:v>
                </c:pt>
                <c:pt idx="670">
                  <c:v>-5.0904733384918002</c:v>
                </c:pt>
                <c:pt idx="671">
                  <c:v>-5.1027799531421225</c:v>
                </c:pt>
                <c:pt idx="672">
                  <c:v>-5.1150865938685568</c:v>
                </c:pt>
                <c:pt idx="673">
                  <c:v>-5.1273932606707149</c:v>
                </c:pt>
                <c:pt idx="674">
                  <c:v>-5.1396999535482086</c:v>
                </c:pt>
                <c:pt idx="675">
                  <c:v>-5.1520066725006508</c:v>
                </c:pt>
                <c:pt idx="676">
                  <c:v>-5.1643134175276524</c:v>
                </c:pt>
                <c:pt idx="677">
                  <c:v>-5.1766201886288261</c:v>
                </c:pt>
                <c:pt idx="678">
                  <c:v>-5.1889269858037848</c:v>
                </c:pt>
                <c:pt idx="679">
                  <c:v>-5.2012338090521393</c:v>
                </c:pt>
                <c:pt idx="680">
                  <c:v>-5.2135406583735024</c:v>
                </c:pt>
                <c:pt idx="681">
                  <c:v>-5.2258475337674861</c:v>
                </c:pt>
                <c:pt idx="682">
                  <c:v>-5.2381544352337022</c:v>
                </c:pt>
                <c:pt idx="683">
                  <c:v>-5.2504613627717633</c:v>
                </c:pt>
                <c:pt idx="684">
                  <c:v>-5.2627683163812815</c:v>
                </c:pt>
                <c:pt idx="685">
                  <c:v>-5.2750752960618685</c:v>
                </c:pt>
                <c:pt idx="686">
                  <c:v>-5.2873823018131363</c:v>
                </c:pt>
                <c:pt idx="687">
                  <c:v>-5.2996893336346975</c:v>
                </c:pt>
                <c:pt idx="688">
                  <c:v>-5.3119963915261641</c:v>
                </c:pt>
                <c:pt idx="689">
                  <c:v>-5.3243034754871479</c:v>
                </c:pt>
                <c:pt idx="690">
                  <c:v>-5.3366105855172608</c:v>
                </c:pt>
                <c:pt idx="691">
                  <c:v>-5.3489177216161155</c:v>
                </c:pt>
                <c:pt idx="692">
                  <c:v>-5.3612248837833238</c:v>
                </c:pt>
                <c:pt idx="693">
                  <c:v>-5.3735320720184987</c:v>
                </c:pt>
                <c:pt idx="694">
                  <c:v>-5.3858392863212519</c:v>
                </c:pt>
                <c:pt idx="695">
                  <c:v>-5.3981465266911952</c:v>
                </c:pt>
                <c:pt idx="696">
                  <c:v>-5.4104537931279406</c:v>
                </c:pt>
                <c:pt idx="697">
                  <c:v>-5.4227610856311008</c:v>
                </c:pt>
                <c:pt idx="698">
                  <c:v>-5.4350684042002877</c:v>
                </c:pt>
                <c:pt idx="699">
                  <c:v>-5.4473757488351131</c:v>
                </c:pt>
                <c:pt idx="700">
                  <c:v>-5.4596831195351889</c:v>
                </c:pt>
                <c:pt idx="701">
                  <c:v>-5.4719905163001279</c:v>
                </c:pt>
                <c:pt idx="702">
                  <c:v>-5.4842979391295428</c:v>
                </c:pt>
                <c:pt idx="703">
                  <c:v>-5.4966053880230445</c:v>
                </c:pt>
                <c:pt idx="704">
                  <c:v>-5.508912862980246</c:v>
                </c:pt>
                <c:pt idx="705">
                  <c:v>-5.5212203640007589</c:v>
                </c:pt>
                <c:pt idx="706">
                  <c:v>-5.5335278910841961</c:v>
                </c:pt>
                <c:pt idx="707">
                  <c:v>-5.5458354442301694</c:v>
                </c:pt>
                <c:pt idx="708">
                  <c:v>-5.5581430234382907</c:v>
                </c:pt>
                <c:pt idx="709">
                  <c:v>-5.5704506287081728</c:v>
                </c:pt>
                <c:pt idx="710">
                  <c:v>-5.5827582600394274</c:v>
                </c:pt>
                <c:pt idx="711">
                  <c:v>-5.5950659174316666</c:v>
                </c:pt>
                <c:pt idx="712">
                  <c:v>-5.607373600884503</c:v>
                </c:pt>
                <c:pt idx="713">
                  <c:v>-5.6196813103975485</c:v>
                </c:pt>
                <c:pt idx="714">
                  <c:v>-5.6319890459704149</c:v>
                </c:pt>
                <c:pt idx="715">
                  <c:v>-5.6442968076027151</c:v>
                </c:pt>
                <c:pt idx="716">
                  <c:v>-5.6566045952940618</c:v>
                </c:pt>
                <c:pt idx="717">
                  <c:v>-5.6689124090440659</c:v>
                </c:pt>
                <c:pt idx="718">
                  <c:v>-5.6812202488523402</c:v>
                </c:pt>
                <c:pt idx="719">
                  <c:v>-5.6935281147184966</c:v>
                </c:pt>
                <c:pt idx="720">
                  <c:v>-5.7058360066421479</c:v>
                </c:pt>
                <c:pt idx="721">
                  <c:v>-5.7181439246229058</c:v>
                </c:pt>
                <c:pt idx="722">
                  <c:v>-5.7304518686603831</c:v>
                </c:pt>
                <c:pt idx="723">
                  <c:v>-5.7427598387541918</c:v>
                </c:pt>
                <c:pt idx="724">
                  <c:v>-5.7550678349039437</c:v>
                </c:pt>
                <c:pt idx="725">
                  <c:v>-5.7673758571092506</c:v>
                </c:pt>
                <c:pt idx="726">
                  <c:v>-5.7796839053697262</c:v>
                </c:pt>
                <c:pt idx="727">
                  <c:v>-5.7919919796849815</c:v>
                </c:pt>
                <c:pt idx="728">
                  <c:v>-5.8043000800546292</c:v>
                </c:pt>
                <c:pt idx="729">
                  <c:v>-5.8166082064782811</c:v>
                </c:pt>
                <c:pt idx="730">
                  <c:v>-5.8289163589555502</c:v>
                </c:pt>
                <c:pt idx="731">
                  <c:v>-5.8412245374860481</c:v>
                </c:pt>
                <c:pt idx="732">
                  <c:v>-5.8535327420693877</c:v>
                </c:pt>
                <c:pt idx="733">
                  <c:v>-5.8658409727051808</c:v>
                </c:pt>
                <c:pt idx="734">
                  <c:v>-5.8781492293930393</c:v>
                </c:pt>
                <c:pt idx="735">
                  <c:v>-5.890457512132576</c:v>
                </c:pt>
                <c:pt idx="736">
                  <c:v>-5.9027658209234026</c:v>
                </c:pt>
                <c:pt idx="737">
                  <c:v>-5.9150741557651321</c:v>
                </c:pt>
                <c:pt idx="738">
                  <c:v>-5.9273825166573761</c:v>
                </c:pt>
                <c:pt idx="739">
                  <c:v>-5.9396909035997476</c:v>
                </c:pt>
                <c:pt idx="740">
                  <c:v>-5.9519993165918583</c:v>
                </c:pt>
                <c:pt idx="741">
                  <c:v>-5.9643077556333211</c:v>
                </c:pt>
                <c:pt idx="742">
                  <c:v>-5.9766162207237468</c:v>
                </c:pt>
                <c:pt idx="743">
                  <c:v>-5.9889247118627491</c:v>
                </c:pt>
                <c:pt idx="744">
                  <c:v>-6.0012332290499399</c:v>
                </c:pt>
                <c:pt idx="745">
                  <c:v>-6.0135417722849311</c:v>
                </c:pt>
                <c:pt idx="746">
                  <c:v>-6.0258503415673355</c:v>
                </c:pt>
                <c:pt idx="747">
                  <c:v>-6.0381589368967648</c:v>
                </c:pt>
                <c:pt idx="748">
                  <c:v>-6.0504675582728318</c:v>
                </c:pt>
                <c:pt idx="749">
                  <c:v>-6.0627762056951484</c:v>
                </c:pt>
                <c:pt idx="750">
                  <c:v>-6.0750848791633274</c:v>
                </c:pt>
                <c:pt idx="751">
                  <c:v>-6.0873935786769806</c:v>
                </c:pt>
                <c:pt idx="752">
                  <c:v>-6.0997023042357208</c:v>
                </c:pt>
                <c:pt idx="753">
                  <c:v>-6.1120110558391598</c:v>
                </c:pt>
                <c:pt idx="754">
                  <c:v>-6.1243198334869104</c:v>
                </c:pt>
                <c:pt idx="755">
                  <c:v>-6.1366286371785845</c:v>
                </c:pt>
                <c:pt idx="756">
                  <c:v>-6.1489374669137948</c:v>
                </c:pt>
                <c:pt idx="757">
                  <c:v>-6.1612463226921532</c:v>
                </c:pt>
                <c:pt idx="758">
                  <c:v>-6.1735552045132724</c:v>
                </c:pt>
                <c:pt idx="759">
                  <c:v>-6.1858641123767644</c:v>
                </c:pt>
                <c:pt idx="760">
                  <c:v>-6.1981730462822417</c:v>
                </c:pt>
                <c:pt idx="761">
                  <c:v>-6.2104820062293165</c:v>
                </c:pt>
                <c:pt idx="762">
                  <c:v>-6.2227909922176003</c:v>
                </c:pt>
                <c:pt idx="763">
                  <c:v>-6.2351000042467071</c:v>
                </c:pt>
                <c:pt idx="764">
                  <c:v>-6.2474090423162476</c:v>
                </c:pt>
                <c:pt idx="765">
                  <c:v>-6.2597181064258356</c:v>
                </c:pt>
                <c:pt idx="766">
                  <c:v>-6.2720271965750829</c:v>
                </c:pt>
                <c:pt idx="767">
                  <c:v>-6.2843363127636014</c:v>
                </c:pt>
                <c:pt idx="768">
                  <c:v>-6.2966454549910038</c:v>
                </c:pt>
                <c:pt idx="769">
                  <c:v>-6.308954623256902</c:v>
                </c:pt>
                <c:pt idx="770">
                  <c:v>-6.3212638175609088</c:v>
                </c:pt>
                <c:pt idx="771">
                  <c:v>-6.3335730379026369</c:v>
                </c:pt>
                <c:pt idx="772">
                  <c:v>-6.3458822842816982</c:v>
                </c:pt>
                <c:pt idx="773">
                  <c:v>-6.3581915566977054</c:v>
                </c:pt>
                <c:pt idx="774">
                  <c:v>-6.3705008551502704</c:v>
                </c:pt>
                <c:pt idx="775">
                  <c:v>-6.382810179639006</c:v>
                </c:pt>
                <c:pt idx="776">
                  <c:v>-6.395119530163524</c:v>
                </c:pt>
                <c:pt idx="777">
                  <c:v>-6.4074289067234371</c:v>
                </c:pt>
                <c:pt idx="778">
                  <c:v>-6.4197383093183573</c:v>
                </c:pt>
                <c:pt idx="779">
                  <c:v>-6.4320477379478973</c:v>
                </c:pt>
                <c:pt idx="780">
                  <c:v>-6.4443571926116698</c:v>
                </c:pt>
                <c:pt idx="781">
                  <c:v>-6.4566666733092868</c:v>
                </c:pt>
                <c:pt idx="782">
                  <c:v>-6.4689761800403609</c:v>
                </c:pt>
                <c:pt idx="783">
                  <c:v>-6.4812857128045041</c:v>
                </c:pt>
                <c:pt idx="784">
                  <c:v>-6.493595271601329</c:v>
                </c:pt>
                <c:pt idx="785">
                  <c:v>-6.5059048564304485</c:v>
                </c:pt>
                <c:pt idx="786">
                  <c:v>-6.5182144672914744</c:v>
                </c:pt>
                <c:pt idx="787">
                  <c:v>-6.5305241041840185</c:v>
                </c:pt>
                <c:pt idx="788">
                  <c:v>-6.5428337671076946</c:v>
                </c:pt>
                <c:pt idx="789">
                  <c:v>-6.5551434560621145</c:v>
                </c:pt>
                <c:pt idx="790">
                  <c:v>-6.56745317104689</c:v>
                </c:pt>
                <c:pt idx="791">
                  <c:v>-6.5797629120616339</c:v>
                </c:pt>
                <c:pt idx="792">
                  <c:v>-6.592072679105959</c:v>
                </c:pt>
                <c:pt idx="793">
                  <c:v>-6.604382472179477</c:v>
                </c:pt>
                <c:pt idx="794">
                  <c:v>-6.6166922912818009</c:v>
                </c:pt>
                <c:pt idx="795">
                  <c:v>-6.6290021364125433</c:v>
                </c:pt>
                <c:pt idx="796">
                  <c:v>-6.6413120075713161</c:v>
                </c:pt>
                <c:pt idx="797">
                  <c:v>-6.6536219047577321</c:v>
                </c:pt>
                <c:pt idx="798">
                  <c:v>-6.665931827971403</c:v>
                </c:pt>
                <c:pt idx="799">
                  <c:v>-6.6782417772119427</c:v>
                </c:pt>
                <c:pt idx="800">
                  <c:v>-6.6905517524789619</c:v>
                </c:pt>
                <c:pt idx="801">
                  <c:v>-6.7028617537720745</c:v>
                </c:pt>
                <c:pt idx="802">
                  <c:v>-6.7151717810908922</c:v>
                </c:pt>
                <c:pt idx="803">
                  <c:v>-6.7274818344350269</c:v>
                </c:pt>
                <c:pt idx="804">
                  <c:v>-6.7397919138040923</c:v>
                </c:pt>
                <c:pt idx="805">
                  <c:v>-6.7521020191977001</c:v>
                </c:pt>
                <c:pt idx="806">
                  <c:v>-6.7644121506154624</c:v>
                </c:pt>
                <c:pt idx="807">
                  <c:v>-6.7767223080569927</c:v>
                </c:pt>
                <c:pt idx="808">
                  <c:v>-6.7890324915219029</c:v>
                </c:pt>
                <c:pt idx="809">
                  <c:v>-6.8013427010098049</c:v>
                </c:pt>
                <c:pt idx="810">
                  <c:v>-6.8136529365203122</c:v>
                </c:pt>
                <c:pt idx="811">
                  <c:v>-6.8259631980530369</c:v>
                </c:pt>
                <c:pt idx="812">
                  <c:v>-6.8382734856075906</c:v>
                </c:pt>
                <c:pt idx="813">
                  <c:v>-6.8505837991835863</c:v>
                </c:pt>
                <c:pt idx="814">
                  <c:v>-6.8628941387806366</c:v>
                </c:pt>
                <c:pt idx="815">
                  <c:v>-6.8752045043983543</c:v>
                </c:pt>
                <c:pt idx="816">
                  <c:v>-6.8875148960363521</c:v>
                </c:pt>
                <c:pt idx="817">
                  <c:v>-6.899825313694242</c:v>
                </c:pt>
                <c:pt idx="818">
                  <c:v>-6.9121357573716358</c:v>
                </c:pt>
                <c:pt idx="819">
                  <c:v>-6.9244462270681471</c:v>
                </c:pt>
                <c:pt idx="820">
                  <c:v>-6.9367567227833877</c:v>
                </c:pt>
                <c:pt idx="821">
                  <c:v>-6.9490672445169706</c:v>
                </c:pt>
                <c:pt idx="822">
                  <c:v>-6.9613777922685074</c:v>
                </c:pt>
                <c:pt idx="823">
                  <c:v>-6.9736883660376119</c:v>
                </c:pt>
                <c:pt idx="824">
                  <c:v>-6.9859989658238959</c:v>
                </c:pt>
                <c:pt idx="825">
                  <c:v>-6.9983095916269722</c:v>
                </c:pt>
                <c:pt idx="826">
                  <c:v>-7.0106202434464526</c:v>
                </c:pt>
                <c:pt idx="827">
                  <c:v>-7.02293092128195</c:v>
                </c:pt>
                <c:pt idx="828">
                  <c:v>-7.0352416251330769</c:v>
                </c:pt>
                <c:pt idx="829">
                  <c:v>-7.0475523549994463</c:v>
                </c:pt>
                <c:pt idx="830">
                  <c:v>-7.05986311088067</c:v>
                </c:pt>
                <c:pt idx="831">
                  <c:v>-7.0721738927763607</c:v>
                </c:pt>
                <c:pt idx="832">
                  <c:v>-7.0844847006861311</c:v>
                </c:pt>
                <c:pt idx="833">
                  <c:v>-7.0967955346095932</c:v>
                </c:pt>
                <c:pt idx="834">
                  <c:v>-7.1091063945463606</c:v>
                </c:pt>
                <c:pt idx="835">
                  <c:v>-7.1214172804960452</c:v>
                </c:pt>
                <c:pt idx="836">
                  <c:v>-7.1337281924582596</c:v>
                </c:pt>
                <c:pt idx="837">
                  <c:v>-7.1460391304326158</c:v>
                </c:pt>
                <c:pt idx="838">
                  <c:v>-7.1583500944187275</c:v>
                </c:pt>
                <c:pt idx="839">
                  <c:v>-7.1706610844162064</c:v>
                </c:pt>
                <c:pt idx="840">
                  <c:v>-7.1829721004246645</c:v>
                </c:pt>
                <c:pt idx="841">
                  <c:v>-7.1952831424437154</c:v>
                </c:pt>
                <c:pt idx="842">
                  <c:v>-7.2075942104729709</c:v>
                </c:pt>
                <c:pt idx="843">
                  <c:v>-7.2199053045120447</c:v>
                </c:pt>
                <c:pt idx="844">
                  <c:v>-7.2322164245605487</c:v>
                </c:pt>
                <c:pt idx="845">
                  <c:v>-7.2445275706180947</c:v>
                </c:pt>
                <c:pt idx="846">
                  <c:v>-7.2568387426842964</c:v>
                </c:pt>
                <c:pt idx="847">
                  <c:v>-7.2691499407587656</c:v>
                </c:pt>
                <c:pt idx="848">
                  <c:v>-7.2814611648411152</c:v>
                </c:pt>
                <c:pt idx="849">
                  <c:v>-7.2937724149309577</c:v>
                </c:pt>
                <c:pt idx="850">
                  <c:v>-7.3060836910279061</c:v>
                </c:pt>
                <c:pt idx="851">
                  <c:v>-7.3183949931315722</c:v>
                </c:pt>
                <c:pt idx="852">
                  <c:v>-7.3307063212415686</c:v>
                </c:pt>
                <c:pt idx="853">
                  <c:v>-7.3430176753575083</c:v>
                </c:pt>
                <c:pt idx="854">
                  <c:v>-7.3553290554790038</c:v>
                </c:pt>
                <c:pt idx="855">
                  <c:v>-7.3676404616056681</c:v>
                </c:pt>
                <c:pt idx="856">
                  <c:v>-7.3799518937371138</c:v>
                </c:pt>
                <c:pt idx="857">
                  <c:v>-7.3922633518729528</c:v>
                </c:pt>
                <c:pt idx="858">
                  <c:v>-7.4045748360127979</c:v>
                </c:pt>
                <c:pt idx="859">
                  <c:v>-7.4168863461562617</c:v>
                </c:pt>
                <c:pt idx="860">
                  <c:v>-7.4291978823029572</c:v>
                </c:pt>
                <c:pt idx="861">
                  <c:v>-7.4415094444524961</c:v>
                </c:pt>
                <c:pt idx="862">
                  <c:v>-7.453821032604492</c:v>
                </c:pt>
                <c:pt idx="863">
                  <c:v>-7.4661326467585569</c:v>
                </c:pt>
                <c:pt idx="864">
                  <c:v>-7.4784442869143035</c:v>
                </c:pt>
                <c:pt idx="865">
                  <c:v>-7.4907559530713446</c:v>
                </c:pt>
                <c:pt idx="866">
                  <c:v>-7.5030676452292928</c:v>
                </c:pt>
                <c:pt idx="867">
                  <c:v>-7.515379363387761</c:v>
                </c:pt>
                <c:pt idx="868">
                  <c:v>-7.5276911075463611</c:v>
                </c:pt>
                <c:pt idx="869">
                  <c:v>-7.5400028777047066</c:v>
                </c:pt>
                <c:pt idx="870">
                  <c:v>-7.5523146738624094</c:v>
                </c:pt>
                <c:pt idx="871">
                  <c:v>-7.5646264960190823</c:v>
                </c:pt>
                <c:pt idx="872">
                  <c:v>-7.5769383441743381</c:v>
                </c:pt>
                <c:pt idx="873">
                  <c:v>-7.5892502183277895</c:v>
                </c:pt>
                <c:pt idx="874">
                  <c:v>-7.6015621184790483</c:v>
                </c:pt>
                <c:pt idx="875">
                  <c:v>-7.6138740446277282</c:v>
                </c:pt>
                <c:pt idx="876">
                  <c:v>-7.626185996773442</c:v>
                </c:pt>
                <c:pt idx="877">
                  <c:v>-7.6384979749158015</c:v>
                </c:pt>
                <c:pt idx="878">
                  <c:v>-7.6508099790544195</c:v>
                </c:pt>
                <c:pt idx="879">
                  <c:v>-7.6631220091889087</c:v>
                </c:pt>
                <c:pt idx="880">
                  <c:v>-7.6754340653188819</c:v>
                </c:pt>
                <c:pt idx="881">
                  <c:v>-7.6877461474439519</c:v>
                </c:pt>
                <c:pt idx="882">
                  <c:v>-7.7000582555637314</c:v>
                </c:pt>
                <c:pt idx="883">
                  <c:v>-7.7123703896778331</c:v>
                </c:pt>
                <c:pt idx="884">
                  <c:v>-7.7246825497858689</c:v>
                </c:pt>
                <c:pt idx="885">
                  <c:v>-7.7369947358874525</c:v>
                </c:pt>
                <c:pt idx="886">
                  <c:v>-7.7493069479821957</c:v>
                </c:pt>
                <c:pt idx="887">
                  <c:v>-7.7616191860697112</c:v>
                </c:pt>
                <c:pt idx="888">
                  <c:v>-7.7739314501496128</c:v>
                </c:pt>
                <c:pt idx="889">
                  <c:v>-7.7862437402215123</c:v>
                </c:pt>
                <c:pt idx="890">
                  <c:v>-7.7985560562850225</c:v>
                </c:pt>
                <c:pt idx="891">
                  <c:v>-7.810868398339756</c:v>
                </c:pt>
                <c:pt idx="892">
                  <c:v>-7.8231807663853257</c:v>
                </c:pt>
                <c:pt idx="893">
                  <c:v>-7.8354931604213442</c:v>
                </c:pt>
                <c:pt idx="894">
                  <c:v>-7.8478055804474236</c:v>
                </c:pt>
                <c:pt idx="895">
                  <c:v>-7.8601180264631774</c:v>
                </c:pt>
                <c:pt idx="896">
                  <c:v>-7.8724304984682183</c:v>
                </c:pt>
                <c:pt idx="897">
                  <c:v>-7.8847429964621591</c:v>
                </c:pt>
                <c:pt idx="898">
                  <c:v>-7.8970555204446118</c:v>
                </c:pt>
                <c:pt idx="899">
                  <c:v>-7.9093680704151899</c:v>
                </c:pt>
                <c:pt idx="900">
                  <c:v>-7.9216806463735052</c:v>
                </c:pt>
                <c:pt idx="901">
                  <c:v>-7.9339932483191715</c:v>
                </c:pt>
                <c:pt idx="902">
                  <c:v>-7.9463058762518006</c:v>
                </c:pt>
                <c:pt idx="903">
                  <c:v>-7.9586185301710053</c:v>
                </c:pt>
                <c:pt idx="904">
                  <c:v>-7.9709312100763992</c:v>
                </c:pt>
                <c:pt idx="905">
                  <c:v>-7.9832439159675941</c:v>
                </c:pt>
                <c:pt idx="906">
                  <c:v>-7.9955566478442028</c:v>
                </c:pt>
                <c:pt idx="907">
                  <c:v>-8.0078694057058382</c:v>
                </c:pt>
                <c:pt idx="908">
                  <c:v>-8.0201821895521128</c:v>
                </c:pt>
                <c:pt idx="909">
                  <c:v>-8.0324949993826404</c:v>
                </c:pt>
                <c:pt idx="910">
                  <c:v>-8.044807835197032</c:v>
                </c:pt>
                <c:pt idx="911">
                  <c:v>-8.0571206969949021</c:v>
                </c:pt>
                <c:pt idx="912">
                  <c:v>-8.0694335847758634</c:v>
                </c:pt>
                <c:pt idx="913">
                  <c:v>-8.0817464985395269</c:v>
                </c:pt>
                <c:pt idx="914">
                  <c:v>-8.0940594382855071</c:v>
                </c:pt>
                <c:pt idx="915">
                  <c:v>-8.1063724040134151</c:v>
                </c:pt>
                <c:pt idx="916">
                  <c:v>-8.1186853957228653</c:v>
                </c:pt>
                <c:pt idx="917">
                  <c:v>-8.1309984134134705</c:v>
                </c:pt>
                <c:pt idx="918">
                  <c:v>-8.1433114570848417</c:v>
                </c:pt>
                <c:pt idx="919">
                  <c:v>-8.1556245267365934</c:v>
                </c:pt>
                <c:pt idx="920">
                  <c:v>-8.1679376223683366</c:v>
                </c:pt>
                <c:pt idx="921">
                  <c:v>-8.1802507439796859</c:v>
                </c:pt>
                <c:pt idx="922">
                  <c:v>-8.1925638915702539</c:v>
                </c:pt>
                <c:pt idx="923">
                  <c:v>-8.2048770651396516</c:v>
                </c:pt>
                <c:pt idx="924">
                  <c:v>-8.2171902646874937</c:v>
                </c:pt>
                <c:pt idx="925">
                  <c:v>-8.2295034902133928</c:v>
                </c:pt>
                <c:pt idx="926">
                  <c:v>-8.2418167417169599</c:v>
                </c:pt>
                <c:pt idx="927">
                  <c:v>-8.2541300191978095</c:v>
                </c:pt>
                <c:pt idx="928">
                  <c:v>-8.2664433226555545</c:v>
                </c:pt>
                <c:pt idx="929">
                  <c:v>-8.2787566520898057</c:v>
                </c:pt>
                <c:pt idx="930">
                  <c:v>-8.2910700075001778</c:v>
                </c:pt>
                <c:pt idx="931">
                  <c:v>-8.3033833888862834</c:v>
                </c:pt>
                <c:pt idx="932">
                  <c:v>-8.3156967962477353</c:v>
                </c:pt>
                <c:pt idx="933">
                  <c:v>-8.3280102295841463</c:v>
                </c:pt>
                <c:pt idx="934">
                  <c:v>-8.3403236888951291</c:v>
                </c:pt>
                <c:pt idx="935">
                  <c:v>-8.3526371741802947</c:v>
                </c:pt>
                <c:pt idx="936">
                  <c:v>-8.3649506854392577</c:v>
                </c:pt>
                <c:pt idx="937">
                  <c:v>-8.3772642226716307</c:v>
                </c:pt>
                <c:pt idx="938">
                  <c:v>-8.3895777858770266</c:v>
                </c:pt>
                <c:pt idx="939">
                  <c:v>-8.4018913750550581</c:v>
                </c:pt>
                <c:pt idx="940">
                  <c:v>-8.4142049902053397</c:v>
                </c:pt>
                <c:pt idx="941">
                  <c:v>-8.4265186313274825</c:v>
                </c:pt>
                <c:pt idx="942">
                  <c:v>-8.4388322984210991</c:v>
                </c:pt>
                <c:pt idx="943">
                  <c:v>-8.4511459914858023</c:v>
                </c:pt>
                <c:pt idx="944">
                  <c:v>-8.4634597105212048</c:v>
                </c:pt>
                <c:pt idx="945">
                  <c:v>-8.4757734555269213</c:v>
                </c:pt>
                <c:pt idx="946">
                  <c:v>-8.4880872265025626</c:v>
                </c:pt>
                <c:pt idx="947">
                  <c:v>-8.5004010234477434</c:v>
                </c:pt>
                <c:pt idx="948">
                  <c:v>-8.5127148463620745</c:v>
                </c:pt>
                <c:pt idx="949">
                  <c:v>-8.5250286952451706</c:v>
                </c:pt>
                <c:pt idx="950">
                  <c:v>-8.5373425700966425</c:v>
                </c:pt>
                <c:pt idx="951">
                  <c:v>-8.5496564709161049</c:v>
                </c:pt>
                <c:pt idx="952">
                  <c:v>-8.5619703977031705</c:v>
                </c:pt>
                <c:pt idx="953">
                  <c:v>-8.5742843504574502</c:v>
                </c:pt>
                <c:pt idx="954">
                  <c:v>-8.5865983291785586</c:v>
                </c:pt>
                <c:pt idx="955">
                  <c:v>-8.5989123338661084</c:v>
                </c:pt>
                <c:pt idx="956">
                  <c:v>-8.6112263645197125</c:v>
                </c:pt>
                <c:pt idx="957">
                  <c:v>-8.6235404211389834</c:v>
                </c:pt>
                <c:pt idx="958">
                  <c:v>-8.6358545037235341</c:v>
                </c:pt>
                <c:pt idx="959">
                  <c:v>-8.6481686122729773</c:v>
                </c:pt>
                <c:pt idx="960">
                  <c:v>-8.6604827467869274</c:v>
                </c:pt>
                <c:pt idx="961">
                  <c:v>-8.6727969072649955</c:v>
                </c:pt>
                <c:pt idx="962">
                  <c:v>-8.6851110937067943</c:v>
                </c:pt>
                <c:pt idx="963">
                  <c:v>-8.6974253061119384</c:v>
                </c:pt>
                <c:pt idx="964">
                  <c:v>-8.7097395444800387</c:v>
                </c:pt>
                <c:pt idx="965">
                  <c:v>-8.7220538088107098</c:v>
                </c:pt>
                <c:pt idx="966">
                  <c:v>-8.7343680991035644</c:v>
                </c:pt>
                <c:pt idx="967">
                  <c:v>-8.7466824153582134</c:v>
                </c:pt>
                <c:pt idx="968">
                  <c:v>-8.7589967575742715</c:v>
                </c:pt>
                <c:pt idx="969">
                  <c:v>-8.7713111257513514</c:v>
                </c:pt>
                <c:pt idx="970">
                  <c:v>-8.7836255198890658</c:v>
                </c:pt>
                <c:pt idx="971">
                  <c:v>-8.7959399399870275</c:v>
                </c:pt>
                <c:pt idx="972">
                  <c:v>-8.8082543860448492</c:v>
                </c:pt>
                <c:pt idx="973">
                  <c:v>-8.8205688580621455</c:v>
                </c:pt>
                <c:pt idx="974">
                  <c:v>-8.8328833560385274</c:v>
                </c:pt>
                <c:pt idx="975">
                  <c:v>-8.8451978799736093</c:v>
                </c:pt>
                <c:pt idx="976">
                  <c:v>-8.8575124298670023</c:v>
                </c:pt>
                <c:pt idx="977">
                  <c:v>-8.8698270057183208</c:v>
                </c:pt>
                <c:pt idx="978">
                  <c:v>-8.8821416075271777</c:v>
                </c:pt>
                <c:pt idx="979">
                  <c:v>-8.8944562352931857</c:v>
                </c:pt>
                <c:pt idx="980">
                  <c:v>-8.9067708890159576</c:v>
                </c:pt>
                <c:pt idx="981">
                  <c:v>-8.919085568695106</c:v>
                </c:pt>
                <c:pt idx="982">
                  <c:v>-8.9314002743302439</c:v>
                </c:pt>
                <c:pt idx="983">
                  <c:v>-8.9437150059209838</c:v>
                </c:pt>
                <c:pt idx="984">
                  <c:v>-8.9560297634669404</c:v>
                </c:pt>
                <c:pt idx="985">
                  <c:v>-8.9683445469677245</c:v>
                </c:pt>
                <c:pt idx="986">
                  <c:v>-8.9806593564229509</c:v>
                </c:pt>
                <c:pt idx="987">
                  <c:v>-8.9929741918322321</c:v>
                </c:pt>
                <c:pt idx="988">
                  <c:v>-9.005289053195181</c:v>
                </c:pt>
                <c:pt idx="989">
                  <c:v>-9.0176039405114103</c:v>
                </c:pt>
                <c:pt idx="990">
                  <c:v>-9.0299188537805328</c:v>
                </c:pt>
                <c:pt idx="991">
                  <c:v>-9.0422337930021612</c:v>
                </c:pt>
                <c:pt idx="992">
                  <c:v>-9.0545487581759083</c:v>
                </c:pt>
                <c:pt idx="993">
                  <c:v>-9.0668637493013886</c:v>
                </c:pt>
                <c:pt idx="994">
                  <c:v>-9.0791787663782131</c:v>
                </c:pt>
                <c:pt idx="995">
                  <c:v>-9.0914938094059963</c:v>
                </c:pt>
                <c:pt idx="996">
                  <c:v>-9.1038088783843509</c:v>
                </c:pt>
                <c:pt idx="997">
                  <c:v>-9.1161239733128898</c:v>
                </c:pt>
                <c:pt idx="998">
                  <c:v>-9.1284390941912257</c:v>
                </c:pt>
                <c:pt idx="999">
                  <c:v>-9.1407542410189713</c:v>
                </c:pt>
                <c:pt idx="1000">
                  <c:v>-9.1530694137957411</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1.5273854005705694E-4</c:v>
                </c:pt>
                <c:pt idx="2">
                  <c:v>1.2696914437625936E-3</c:v>
                </c:pt>
                <c:pt idx="3">
                  <c:v>4.4110278842786777E-3</c:v>
                </c:pt>
                <c:pt idx="4">
                  <c:v>9.9362335628061411E-3</c:v>
                </c:pt>
                <c:pt idx="5">
                  <c:v>1.7761314088600405E-2</c:v>
                </c:pt>
                <c:pt idx="6">
                  <c:v>2.7827737950922075E-2</c:v>
                </c:pt>
                <c:pt idx="7">
                  <c:v>4.0128173392675132E-2</c:v>
                </c:pt>
                <c:pt idx="8">
                  <c:v>5.4680929117226572E-2</c:v>
                </c:pt>
                <c:pt idx="9">
                  <c:v>7.150432487106842E-2</c:v>
                </c:pt>
                <c:pt idx="10">
                  <c:v>9.0616691124344659E-2</c:v>
                </c:pt>
                <c:pt idx="11">
                  <c:v>0.11203370511302652</c:v>
                </c:pt>
                <c:pt idx="12">
                  <c:v>0.13576571961490921</c:v>
                </c:pt>
                <c:pt idx="13">
                  <c:v>0.16182041552888118</c:v>
                </c:pt>
                <c:pt idx="14">
                  <c:v>0.19020546176004227</c:v>
                </c:pt>
                <c:pt idx="15">
                  <c:v>0.22092851497627636</c:v>
                </c:pt>
                <c:pt idx="16">
                  <c:v>0.25399721936396169</c:v>
                </c:pt>
                <c:pt idx="17">
                  <c:v>0.28941920638283469</c:v>
                </c:pt>
                <c:pt idx="18">
                  <c:v>0.32720209452002352</c:v>
                </c:pt>
                <c:pt idx="19">
                  <c:v>0.3673534890432677</c:v>
                </c:pt>
                <c:pt idx="20">
                  <c:v>0.40988098175334087</c:v>
                </c:pt>
                <c:pt idx="21">
                  <c:v>0.45479108152915937</c:v>
                </c:pt>
                <c:pt idx="22">
                  <c:v>0.5020881420071035</c:v>
                </c:pt>
                <c:pt idx="23">
                  <c:v>0.55177542639432053</c:v>
                </c:pt>
                <c:pt idx="24">
                  <c:v>0.60385617519710821</c:v>
                </c:pt>
                <c:pt idx="25">
                  <c:v>0.65833360607187441</c:v>
                </c:pt>
                <c:pt idx="26">
                  <c:v>0.71521091367679623</c:v>
                </c:pt>
                <c:pt idx="27">
                  <c:v>0.77457521122985118</c:v>
                </c:pt>
                <c:pt idx="28">
                  <c:v>0.83651709727039647</c:v>
                </c:pt>
                <c:pt idx="29">
                  <c:v>0.90104665771487036</c:v>
                </c:pt>
                <c:pt idx="30">
                  <c:v>0.96817378816524302</c:v>
                </c:pt>
                <c:pt idx="31">
                  <c:v>1.0379081467387299</c:v>
                </c:pt>
                <c:pt idx="32">
                  <c:v>1.1102591682103027</c:v>
                </c:pt>
                <c:pt idx="33">
                  <c:v>1.1852360767476562</c:v>
                </c:pt>
                <c:pt idx="34">
                  <c:v>1.2628478974175996</c:v>
                </c:pt>
                <c:pt idx="35">
                  <c:v>1.3431034666152477</c:v>
                </c:pt>
                <c:pt idx="36">
                  <c:v>1.4260114415447558</c:v>
                </c:pt>
                <c:pt idx="37">
                  <c:v>1.5115803088616588</c:v>
                </c:pt>
                <c:pt idx="38">
                  <c:v>1.5998183925713556</c:v>
                </c:pt>
                <c:pt idx="39">
                  <c:v>1.6907338612653215</c:v>
                </c:pt>
                <c:pt idx="40">
                  <c:v>1.784334734765751</c:v>
                </c:pt>
                <c:pt idx="41">
                  <c:v>1.8806280307923873</c:v>
                </c:pt>
                <c:pt idx="42">
                  <c:v>1.9796189044622245</c:v>
                </c:pt>
                <c:pt idx="43">
                  <c:v>2.0813115041369881</c:v>
                </c:pt>
                <c:pt idx="44">
                  <c:v>2.1857098338846024</c:v>
                </c:pt>
                <c:pt idx="45">
                  <c:v>2.2928177585509801</c:v>
                </c:pt>
                <c:pt idx="46">
                  <c:v>2.4026390084747908</c:v>
                </c:pt>
                <c:pt idx="47">
                  <c:v>2.5151771838780768</c:v>
                </c:pt>
                <c:pt idx="48">
                  <c:v>2.6304357589619025</c:v>
                </c:pt>
                <c:pt idx="49">
                  <c:v>2.7484180857330265</c:v>
                </c:pt>
                <c:pt idx="50">
                  <c:v>2.8691273975848004</c:v>
                </c:pt>
                <c:pt idx="51">
                  <c:v>2.992566812653064</c:v>
                </c:pt>
                <c:pt idx="52">
                  <c:v>3.1187393369656702</c:v>
                </c:pt>
                <c:pt idx="53">
                  <c:v>3.2476478674024039</c:v>
                </c:pt>
                <c:pt idx="54">
                  <c:v>3.3792951944803988</c:v>
                </c:pt>
                <c:pt idx="55">
                  <c:v>3.5136840049787041</c:v>
                </c:pt>
                <c:pt idx="56">
                  <c:v>3.6508168844143465</c:v>
                </c:pt>
                <c:pt idx="57">
                  <c:v>3.7906963193810967</c:v>
                </c:pt>
                <c:pt idx="58">
                  <c:v>3.9333246997611155</c:v>
                </c:pt>
                <c:pt idx="59">
                  <c:v>4.0787043208187512</c:v>
                </c:pt>
                <c:pt idx="60">
                  <c:v>4.2268373851849335</c:v>
                </c:pt>
                <c:pt idx="61">
                  <c:v>4.3777260047398858</c:v>
                </c:pt>
                <c:pt idx="62">
                  <c:v>4.5313722024012169</c:v>
                </c:pt>
                <c:pt idx="63">
                  <c:v>4.6877779138238651</c:v>
                </c:pt>
                <c:pt idx="64">
                  <c:v>4.8469449890178353</c:v>
                </c:pt>
                <c:pt idx="65">
                  <c:v>5.0088751938891827</c:v>
                </c:pt>
                <c:pt idx="66">
                  <c:v>5.1735702117092712</c:v>
                </c:pt>
                <c:pt idx="67">
                  <c:v>5.3410316445169403</c:v>
                </c:pt>
                <c:pt idx="68">
                  <c:v>5.5112610144578458</c:v>
                </c:pt>
                <c:pt idx="69">
                  <c:v>5.684259765064926</c:v>
                </c:pt>
                <c:pt idx="70">
                  <c:v>5.8600292624836543</c:v>
                </c:pt>
                <c:pt idx="71">
                  <c:v>6.0385707966454483</c:v>
                </c:pt>
                <c:pt idx="72">
                  <c:v>6.2198855823923838</c:v>
                </c:pt>
                <c:pt idx="73">
                  <c:v>6.403974760556121</c:v>
                </c:pt>
                <c:pt idx="74">
                  <c:v>6.590839398993757</c:v>
                </c:pt>
                <c:pt idx="75">
                  <c:v>6.7804804935831138</c:v>
                </c:pt>
                <c:pt idx="76">
                  <c:v>6.9728989691798162</c:v>
                </c:pt>
                <c:pt idx="77">
                  <c:v>7.1680956805383431</c:v>
                </c:pt>
                <c:pt idx="78">
                  <c:v>7.3660714131990916</c:v>
                </c:pt>
                <c:pt idx="79">
                  <c:v>7.5668268843433601</c:v>
                </c:pt>
                <c:pt idx="80">
                  <c:v>7.7703627436180378</c:v>
                </c:pt>
                <c:pt idx="81">
                  <c:v>7.9766786545424084</c:v>
                </c:pt>
                <c:pt idx="82">
                  <c:v>8.1857723716531172</c:v>
                </c:pt>
                <c:pt idx="83">
                  <c:v>8.3976406552560441</c:v>
                </c:pt>
                <c:pt idx="84">
                  <c:v>8.6122801905307647</c:v>
                </c:pt>
                <c:pt idx="85">
                  <c:v>8.8296875885081434</c:v>
                </c:pt>
                <c:pt idx="86">
                  <c:v>9.0498593870209536</c:v>
                </c:pt>
                <c:pt idx="87">
                  <c:v>9.272792051628965</c:v>
                </c:pt>
                <c:pt idx="88">
                  <c:v>9.4984819765198605</c:v>
                </c:pt>
                <c:pt idx="89">
                  <c:v>9.7269254853872322</c:v>
                </c:pt>
                <c:pt idx="90">
                  <c:v>9.9581188322868694</c:v>
                </c:pt>
                <c:pt idx="91">
                  <c:v>10.192057792553406</c:v>
                </c:pt>
                <c:pt idx="92">
                  <c:v>10.42873725199834</c:v>
                </c:pt>
                <c:pt idx="93">
                  <c:v>10.668151615515839</c:v>
                </c:pt>
                <c:pt idx="94">
                  <c:v>10.910295217429958</c:v>
                </c:pt>
                <c:pt idx="95">
                  <c:v>11.155162322376789</c:v>
                </c:pt>
                <c:pt idx="96">
                  <c:v>11.402747126168892</c:v>
                </c:pt>
                <c:pt idx="97">
                  <c:v>11.653043756642871</c:v>
                </c:pt>
                <c:pt idx="98">
                  <c:v>11.906046274490908</c:v>
                </c:pt>
                <c:pt idx="99">
                  <c:v>12.161748674077016</c:v>
                </c:pt>
                <c:pt idx="100">
                  <c:v>12.420144884238734</c:v>
                </c:pt>
                <c:pt idx="101">
                  <c:v>12.681228702968578</c:v>
                </c:pt>
                <c:pt idx="102">
                  <c:v>12.944993731835435</c:v>
                </c:pt>
                <c:pt idx="103">
                  <c:v>13.211433442554696</c:v>
                </c:pt>
                <c:pt idx="104">
                  <c:v>13.480541243802177</c:v>
                </c:pt>
                <c:pt idx="105">
                  <c:v>13.752310481970445</c:v>
                </c:pt>
                <c:pt idx="106">
                  <c:v>14.026734441913923</c:v>
                </c:pt>
                <c:pt idx="107">
                  <c:v>14.30380634768323</c:v>
                </c:pt>
                <c:pt idx="108">
                  <c:v>14.583519363249245</c:v>
                </c:pt>
                <c:pt idx="109">
                  <c:v>14.865866593217326</c:v>
                </c:pt>
                <c:pt idx="110">
                  <c:v>15.150841083532084</c:v>
                </c:pt>
                <c:pt idx="111">
                  <c:v>15.438436589028203</c:v>
                </c:pt>
                <c:pt idx="112">
                  <c:v>15.728648343557349</c:v>
                </c:pt>
                <c:pt idx="113">
                  <c:v>16.021472296834158</c:v>
                </c:pt>
                <c:pt idx="114">
                  <c:v>16.31690434859501</c:v>
                </c:pt>
                <c:pt idx="115">
                  <c:v>16.614940349073159</c:v>
                </c:pt>
                <c:pt idx="116">
                  <c:v>16.915576099468431</c:v>
                </c:pt>
                <c:pt idx="117">
                  <c:v>17.218807352411712</c:v>
                </c:pt>
                <c:pt idx="118">
                  <c:v>17.524629812424415</c:v>
                </c:pt>
                <c:pt idx="119">
                  <c:v>17.83303913637317</c:v>
                </c:pt>
                <c:pt idx="120">
                  <c:v>18.1440309339199</c:v>
                </c:pt>
                <c:pt idx="121">
                  <c:v>18.457599487191622</c:v>
                </c:pt>
                <c:pt idx="122">
                  <c:v>18.773736466518649</c:v>
                </c:pt>
                <c:pt idx="123">
                  <c:v>19.092432207232353</c:v>
                </c:pt>
                <c:pt idx="124">
                  <c:v>19.413676990539535</c:v>
                </c:pt>
                <c:pt idx="125">
                  <c:v>19.73746104425695</c:v>
                </c:pt>
                <c:pt idx="126">
                  <c:v>20.063774543539331</c:v>
                </c:pt>
                <c:pt idx="127">
                  <c:v>20.392607611601061</c:v>
                </c:pt>
                <c:pt idx="128">
                  <c:v>20.723950320431712</c:v>
                </c:pt>
                <c:pt idx="129">
                  <c:v>21.0577926915056</c:v>
                </c:pt>
                <c:pt idx="130">
                  <c:v>21.394124696485544</c:v>
                </c:pt>
                <c:pt idx="131">
                  <c:v>21.732935920435683</c:v>
                </c:pt>
                <c:pt idx="132">
                  <c:v>22.074215224106698</c:v>
                </c:pt>
                <c:pt idx="133">
                  <c:v>22.417951081129061</c:v>
                </c:pt>
                <c:pt idx="134">
                  <c:v>22.764131916164267</c:v>
                </c:pt>
                <c:pt idx="135">
                  <c:v>23.112746105663522</c:v>
                </c:pt>
                <c:pt idx="136">
                  <c:v>23.463781978620645</c:v>
                </c:pt>
                <c:pt idx="137">
                  <c:v>23.817227817319242</c:v>
                </c:pt>
                <c:pt idx="138">
                  <c:v>24.173071858074316</c:v>
                </c:pt>
                <c:pt idx="139">
                  <c:v>24.531302291968359</c:v>
                </c:pt>
                <c:pt idx="140">
                  <c:v>24.891907265582098</c:v>
                </c:pt>
                <c:pt idx="141">
                  <c:v>25.254870821978468</c:v>
                </c:pt>
                <c:pt idx="142">
                  <c:v>25.620168831954103</c:v>
                </c:pt>
                <c:pt idx="143">
                  <c:v>25.987773044997176</c:v>
                </c:pt>
                <c:pt idx="144">
                  <c:v>26.357655150537674</c:v>
                </c:pt>
                <c:pt idx="145">
                  <c:v>26.729786779785776</c:v>
                </c:pt>
                <c:pt idx="146">
                  <c:v>27.104139507551075</c:v>
                </c:pt>
                <c:pt idx="147">
                  <c:v>27.480684854042789</c:v>
                </c:pt>
                <c:pt idx="148">
                  <c:v>27.859394286651025</c:v>
                </c:pt>
                <c:pt idx="149">
                  <c:v>28.240239221709238</c:v>
                </c:pt>
                <c:pt idx="150">
                  <c:v>28.623191026237951</c:v>
                </c:pt>
                <c:pt idx="151">
                  <c:v>29.008221019669787</c:v>
                </c:pt>
                <c:pt idx="152">
                  <c:v>29.395300475555949</c:v>
                </c:pt>
                <c:pt idx="153">
                  <c:v>29.784400623254133</c:v>
                </c:pt>
                <c:pt idx="154">
                  <c:v>30.175492649597981</c:v>
                </c:pt>
                <c:pt idx="155">
                  <c:v>30.568547700548109</c:v>
                </c:pt>
                <c:pt idx="156">
                  <c:v>30.963517494337438</c:v>
                </c:pt>
                <c:pt idx="157">
                  <c:v>31.360314903095308</c:v>
                </c:pt>
                <c:pt idx="158">
                  <c:v>31.758833322833102</c:v>
                </c:pt>
                <c:pt idx="159">
                  <c:v>32.158966079906357</c:v>
                </c:pt>
                <c:pt idx="160">
                  <c:v>32.560606442458557</c:v>
                </c:pt>
                <c:pt idx="161">
                  <c:v>32.963622917995217</c:v>
                </c:pt>
                <c:pt idx="162">
                  <c:v>33.367834529864389</c:v>
                </c:pt>
                <c:pt idx="163">
                  <c:v>33.773037907820559</c:v>
                </c:pt>
                <c:pt idx="164">
                  <c:v>34.179034412096776</c:v>
                </c:pt>
                <c:pt idx="165">
                  <c:v>34.585651461062469</c:v>
                </c:pt>
                <c:pt idx="166">
                  <c:v>34.992763856948592</c:v>
                </c:pt>
                <c:pt idx="167">
                  <c:v>35.400252124604975</c:v>
                </c:pt>
                <c:pt idx="168">
                  <c:v>35.807973870714484</c:v>
                </c:pt>
                <c:pt idx="169">
                  <c:v>36.215744600184266</c:v>
                </c:pt>
                <c:pt idx="170">
                  <c:v>36.623331611297843</c:v>
                </c:pt>
                <c:pt idx="171">
                  <c:v>37.030571947081697</c:v>
                </c:pt>
                <c:pt idx="172">
                  <c:v>37.437425022746119</c:v>
                </c:pt>
                <c:pt idx="173">
                  <c:v>37.843891833507712</c:v>
                </c:pt>
                <c:pt idx="174">
                  <c:v>38.249973370979447</c:v>
                </c:pt>
                <c:pt idx="175">
                  <c:v>38.65567062318847</c:v>
                </c:pt>
                <c:pt idx="176">
                  <c:v>39.06098457459381</c:v>
                </c:pt>
                <c:pt idx="177">
                  <c:v>39.465916206103991</c:v>
                </c:pt>
                <c:pt idx="178">
                  <c:v>39.870466495094497</c:v>
                </c:pt>
                <c:pt idx="179">
                  <c:v>40.274636415425185</c:v>
                </c:pt>
                <c:pt idx="180">
                  <c:v>40.678426937457537</c:v>
                </c:pt>
                <c:pt idx="181">
                  <c:v>41.081839028071833</c:v>
                </c:pt>
                <c:pt idx="182">
                  <c:v>41.484873650684214</c:v>
                </c:pt>
                <c:pt idx="183">
                  <c:v>41.887531765263653</c:v>
                </c:pt>
                <c:pt idx="184">
                  <c:v>42.289814328348783</c:v>
                </c:pt>
                <c:pt idx="185">
                  <c:v>42.691722293064672</c:v>
                </c:pt>
                <c:pt idx="186">
                  <c:v>43.093256609139459</c:v>
                </c:pt>
                <c:pt idx="187">
                  <c:v>43.494418222920906</c:v>
                </c:pt>
                <c:pt idx="188">
                  <c:v>43.895208077392844</c:v>
                </c:pt>
                <c:pt idx="189">
                  <c:v>44.295627112191504</c:v>
                </c:pt>
                <c:pt idx="190">
                  <c:v>44.695676263621785</c:v>
                </c:pt>
                <c:pt idx="191">
                  <c:v>45.095356464673387</c:v>
                </c:pt>
                <c:pt idx="192">
                  <c:v>45.49466864503686</c:v>
                </c:pt>
                <c:pt idx="193">
                  <c:v>45.893613731119572</c:v>
                </c:pt>
                <c:pt idx="194">
                  <c:v>46.29219264606153</c:v>
                </c:pt>
                <c:pt idx="195">
                  <c:v>46.690406309751175</c:v>
                </c:pt>
                <c:pt idx="196">
                  <c:v>47.088255638841034</c:v>
                </c:pt>
                <c:pt idx="197">
                  <c:v>47.485741546763272</c:v>
                </c:pt>
                <c:pt idx="198">
                  <c:v>47.882864943745197</c:v>
                </c:pt>
                <c:pt idx="199">
                  <c:v>48.279626736824618</c:v>
                </c:pt>
                <c:pt idx="200">
                  <c:v>48.676027829865149</c:v>
                </c:pt>
                <c:pt idx="201">
                  <c:v>52.620270027285272</c:v>
                </c:pt>
                <c:pt idx="202">
                  <c:v>56.529022232688696</c:v>
                </c:pt>
                <c:pt idx="203">
                  <c:v>60.403159147599432</c:v>
                </c:pt>
                <c:pt idx="204">
                  <c:v>64.243525647747944</c:v>
                </c:pt>
                <c:pt idx="205">
                  <c:v>68.050938164023961</c:v>
                </c:pt>
                <c:pt idx="206">
                  <c:v>71.826185984073646</c:v>
                </c:pt>
                <c:pt idx="207">
                  <c:v>75.570032479984334</c:v>
                </c:pt>
                <c:pt idx="208">
                  <c:v>79.283216267067232</c:v>
                </c:pt>
                <c:pt idx="209">
                  <c:v>82.966452298355151</c:v>
                </c:pt>
                <c:pt idx="210">
                  <c:v>86.620432899073691</c:v>
                </c:pt>
                <c:pt idx="211">
                  <c:v>90.245828745017533</c:v>
                </c:pt>
                <c:pt idx="212">
                  <c:v>93.843289788464773</c:v>
                </c:pt>
                <c:pt idx="213">
                  <c:v>97.413446134989698</c:v>
                </c:pt>
                <c:pt idx="214">
                  <c:v>100.95690887428468</c:v>
                </c:pt>
                <c:pt idx="215">
                  <c:v>104.47427086787334</c:v>
                </c:pt>
                <c:pt idx="216">
                  <c:v>107.96610749638775</c:v>
                </c:pt>
                <c:pt idx="217">
                  <c:v>111.43297736889001</c:v>
                </c:pt>
                <c:pt idx="218">
                  <c:v>114.87542299654226</c:v>
                </c:pt>
                <c:pt idx="219">
                  <c:v>118.2939714327666</c:v>
                </c:pt>
                <c:pt idx="220">
                  <c:v>121.68913488188734</c:v>
                </c:pt>
                <c:pt idx="221">
                  <c:v>125.06141127811023</c:v>
                </c:pt>
                <c:pt idx="222">
                  <c:v>128.41128483656678</c:v>
                </c:pt>
                <c:pt idx="223">
                  <c:v>131.73922657803473</c:v>
                </c:pt>
                <c:pt idx="224">
                  <c:v>135.04569482883775</c:v>
                </c:pt>
                <c:pt idx="225">
                  <c:v>138.33113569732791</c:v>
                </c:pt>
                <c:pt idx="226">
                  <c:v>141.5959835282618</c:v>
                </c:pt>
                <c:pt idx="227">
                  <c:v>144.84066133629622</c:v>
                </c:pt>
                <c:pt idx="228">
                  <c:v>148.06558121975013</c:v>
                </c:pt>
                <c:pt idx="229">
                  <c:v>151.27114475570616</c:v>
                </c:pt>
                <c:pt idx="230">
                  <c:v>154.45774337745706</c:v>
                </c:pt>
                <c:pt idx="231">
                  <c:v>157.62575873523937</c:v>
                </c:pt>
                <c:pt idx="232">
                  <c:v>160.77556304113813</c:v>
                </c:pt>
                <c:pt idx="233">
                  <c:v>163.90751939899133</c:v>
                </c:pt>
                <c:pt idx="234">
                  <c:v>167.02198212007312</c:v>
                </c:pt>
                <c:pt idx="235">
                  <c:v>170.1192970252865</c:v>
                </c:pt>
                <c:pt idx="236">
                  <c:v>173.19980173455298</c:v>
                </c:pt>
                <c:pt idx="237">
                  <c:v>176.26382594404552</c:v>
                </c:pt>
                <c:pt idx="238">
                  <c:v>179.31169169187271</c:v>
                </c:pt>
                <c:pt idx="239">
                  <c:v>182.34371361278644</c:v>
                </c:pt>
                <c:pt idx="240">
                  <c:v>185.36019918245233</c:v>
                </c:pt>
                <c:pt idx="241">
                  <c:v>188.36144895179044</c:v>
                </c:pt>
                <c:pt idx="242">
                  <c:v>191.34775677186531</c:v>
                </c:pt>
                <c:pt idx="243">
                  <c:v>194.31941000977648</c:v>
                </c:pt>
                <c:pt idx="244">
                  <c:v>197.2766897559755</c:v>
                </c:pt>
                <c:pt idx="245">
                  <c:v>200.2198710234114</c:v>
                </c:pt>
                <c:pt idx="246">
                  <c:v>203.14922293888415</c:v>
                </c:pt>
                <c:pt idx="247">
                  <c:v>206.06500892696437</c:v>
                </c:pt>
                <c:pt idx="248">
                  <c:v>208.96748688681828</c:v>
                </c:pt>
                <c:pt idx="249">
                  <c:v>211.85690936225765</c:v>
                </c:pt>
                <c:pt idx="250">
                  <c:v>214.73352370531754</c:v>
                </c:pt>
                <c:pt idx="251">
                  <c:v>217.59757223364798</c:v>
                </c:pt>
                <c:pt idx="252">
                  <c:v>220.4492923819902</c:v>
                </c:pt>
                <c:pt idx="253">
                  <c:v>223.28891684799351</c:v>
                </c:pt>
                <c:pt idx="254">
                  <c:v>226.1166737326152</c:v>
                </c:pt>
                <c:pt idx="255">
                  <c:v>228.93278667533275</c:v>
                </c:pt>
                <c:pt idx="256">
                  <c:v>231.73747498438541</c:v>
                </c:pt>
                <c:pt idx="257">
                  <c:v>234.53095376225056</c:v>
                </c:pt>
                <c:pt idx="258">
                  <c:v>237.31343402654929</c:v>
                </c:pt>
                <c:pt idx="259">
                  <c:v>240.08512282656531</c:v>
                </c:pt>
                <c:pt idx="260">
                  <c:v>242.84622335555144</c:v>
                </c:pt>
                <c:pt idx="261">
                  <c:v>245.59693505898809</c:v>
                </c:pt>
                <c:pt idx="262">
                  <c:v>248.3374537389501</c:v>
                </c:pt>
                <c:pt idx="263">
                  <c:v>251.06797165472886</c:v>
                </c:pt>
                <c:pt idx="264">
                  <c:v>253.78867761984941</c:v>
                </c:pt>
                <c:pt idx="265">
                  <c:v>256.49975709561357</c:v>
                </c:pt>
                <c:pt idx="266">
                  <c:v>259.20139228129369</c:v>
                </c:pt>
                <c:pt idx="267">
                  <c:v>261.89376220109381</c:v>
                </c:pt>
                <c:pt idx="268">
                  <c:v>264.57704278798849</c:v>
                </c:pt>
                <c:pt idx="269">
                  <c:v>267.25140696454287</c:v>
                </c:pt>
                <c:pt idx="270">
                  <c:v>269.91702472081158</c:v>
                </c:pt>
                <c:pt idx="271">
                  <c:v>272.57406318940741</c:v>
                </c:pt>
                <c:pt idx="272">
                  <c:v>275.22268671782501</c:v>
                </c:pt>
                <c:pt idx="273">
                  <c:v>277.86305693809931</c:v>
                </c:pt>
                <c:pt idx="274">
                  <c:v>280.49533283387211</c:v>
                </c:pt>
                <c:pt idx="275">
                  <c:v>283.11967080493548</c:v>
                </c:pt>
                <c:pt idx="276">
                  <c:v>285.73622472931447</c:v>
                </c:pt>
                <c:pt idx="277">
                  <c:v>288.34514602294695</c:v>
                </c:pt>
                <c:pt idx="278">
                  <c:v>290.94658369701233</c:v>
                </c:pt>
                <c:pt idx="279">
                  <c:v>293.54068441295613</c:v>
                </c:pt>
                <c:pt idx="280">
                  <c:v>296.12759253525223</c:v>
                </c:pt>
                <c:pt idx="281">
                  <c:v>298.70745018193821</c:v>
                </c:pt>
                <c:pt idx="282">
                  <c:v>301.28039727295561</c:v>
                </c:pt>
                <c:pt idx="283">
                  <c:v>303.84657157631977</c:v>
                </c:pt>
                <c:pt idx="284">
                  <c:v>306.4061087521394</c:v>
                </c:pt>
                <c:pt idx="285">
                  <c:v>308.95914239449985</c:v>
                </c:pt>
                <c:pt idx="286">
                  <c:v>311.50580407121896</c:v>
                </c:pt>
                <c:pt idx="287">
                  <c:v>314.0462233614773</c:v>
                </c:pt>
                <c:pt idx="288">
                  <c:v>316.58052789131949</c:v>
                </c:pt>
                <c:pt idx="289">
                  <c:v>319.10884336701588</c:v>
                </c:pt>
                <c:pt idx="290">
                  <c:v>321.63129360626812</c:v>
                </c:pt>
                <c:pt idx="291">
                  <c:v>324.14800056723459</c:v>
                </c:pt>
                <c:pt idx="292">
                  <c:v>326.65908437534398</c:v>
                </c:pt>
                <c:pt idx="293">
                  <c:v>329.16466334785866</c:v>
                </c:pt>
                <c:pt idx="294">
                  <c:v>331.66485401614057</c:v>
                </c:pt>
                <c:pt idx="295">
                  <c:v>334.15977114556364</c:v>
                </c:pt>
                <c:pt idx="296">
                  <c:v>336.64952775300884</c:v>
                </c:pt>
                <c:pt idx="297">
                  <c:v>339.13423512186756</c:v>
                </c:pt>
                <c:pt idx="298">
                  <c:v>341.61400281446936</c:v>
                </c:pt>
                <c:pt idx="299">
                  <c:v>344.08893868183992</c:v>
                </c:pt>
                <c:pt idx="300">
                  <c:v>346.55914887068394</c:v>
                </c:pt>
                <c:pt idx="301">
                  <c:v>349.02473782747654</c:v>
                </c:pt>
                <c:pt idx="302">
                  <c:v>351.48580829953448</c:v>
                </c:pt>
                <c:pt idx="303">
                  <c:v>353.94246133292717</c:v>
                </c:pt>
                <c:pt idx="304">
                  <c:v>356.39479626707396</c:v>
                </c:pt>
                <c:pt idx="305">
                  <c:v>358.84291072586268</c:v>
                </c:pt>
                <c:pt idx="306">
                  <c:v>361.28690060511138</c:v>
                </c:pt>
                <c:pt idx="307">
                  <c:v>363.72686005618323</c:v>
                </c:pt>
                <c:pt idx="308">
                  <c:v>366.16288146555263</c:v>
                </c:pt>
                <c:pt idx="309">
                  <c:v>368.59505543011136</c:v>
                </c:pt>
                <c:pt idx="310">
                  <c:v>371.0234707279937</c:v>
                </c:pt>
                <c:pt idx="311">
                  <c:v>373.44821428469322</c:v>
                </c:pt>
                <c:pt idx="312">
                  <c:v>375.86937113424182</c:v>
                </c:pt>
                <c:pt idx="313">
                  <c:v>378.28702437522094</c:v>
                </c:pt>
                <c:pt idx="314">
                  <c:v>380.70125512138264</c:v>
                </c:pt>
                <c:pt idx="315">
                  <c:v>383.11214244667053</c:v>
                </c:pt>
                <c:pt idx="316">
                  <c:v>385.51976332445287</c:v>
                </c:pt>
                <c:pt idx="317">
                  <c:v>387.92419256081189</c:v>
                </c:pt>
                <c:pt idx="318">
                  <c:v>390.32550272177855</c:v>
                </c:pt>
                <c:pt idx="319">
                  <c:v>392.7237640544605</c:v>
                </c:pt>
                <c:pt idx="320">
                  <c:v>395.11904440208849</c:v>
                </c:pt>
                <c:pt idx="321">
                  <c:v>397.51140911310125</c:v>
                </c:pt>
                <c:pt idx="322">
                  <c:v>399.90092094450654</c:v>
                </c:pt>
                <c:pt idx="323">
                  <c:v>402.2876399598951</c:v>
                </c:pt>
                <c:pt idx="324">
                  <c:v>404.67162342264862</c:v>
                </c:pt>
                <c:pt idx="325">
                  <c:v>407.05292568506718</c:v>
                </c:pt>
                <c:pt idx="326">
                  <c:v>409.43159807434955</c:v>
                </c:pt>
                <c:pt idx="327">
                  <c:v>411.80768877658153</c:v>
                </c:pt>
                <c:pt idx="328">
                  <c:v>414.18124272012034</c:v>
                </c:pt>
                <c:pt idx="329">
                  <c:v>416.55230145999417</c:v>
                </c:pt>
                <c:pt idx="330">
                  <c:v>418.92090306515638</c:v>
                </c:pt>
                <c:pt idx="331">
                  <c:v>421.28708201062489</c:v>
                </c:pt>
                <c:pt idx="332">
                  <c:v>423.65086907668552</c:v>
                </c:pt>
                <c:pt idx="333">
                  <c:v>426.01229125742589</c:v>
                </c:pt>
                <c:pt idx="334">
                  <c:v>428.37137168087406</c:v>
                </c:pt>
                <c:pt idx="335">
                  <c:v>430.72812954293778</c:v>
                </c:pt>
                <c:pt idx="336">
                  <c:v>433.0825800571597</c:v>
                </c:pt>
                <c:pt idx="337">
                  <c:v>435.43473442202685</c:v>
                </c:pt>
                <c:pt idx="338">
                  <c:v>437.78459980720095</c:v>
                </c:pt>
                <c:pt idx="339">
                  <c:v>440.13217935959045</c:v>
                </c:pt>
                <c:pt idx="340">
                  <c:v>442.47747222968121</c:v>
                </c:pt>
                <c:pt idx="341">
                  <c:v>444.82047361801739</c:v>
                </c:pt>
                <c:pt idx="342">
                  <c:v>447.16117484120036</c:v>
                </c:pt>
                <c:pt idx="343">
                  <c:v>449.49956341628928</c:v>
                </c:pt>
                <c:pt idx="344">
                  <c:v>451.83562316206263</c:v>
                </c:pt>
                <c:pt idx="345">
                  <c:v>454.16933431526274</c:v>
                </c:pt>
                <c:pt idx="346">
                  <c:v>456.50067365970239</c:v>
                </c:pt>
                <c:pt idx="347">
                  <c:v>458.82961466597123</c:v>
                </c:pt>
                <c:pt idx="348">
                  <c:v>461.1561276394367</c:v>
                </c:pt>
                <c:pt idx="349">
                  <c:v>463.48017987427647</c:v>
                </c:pt>
                <c:pt idx="350">
                  <c:v>465.80173581139672</c:v>
                </c:pt>
                <c:pt idx="351">
                  <c:v>468.12075719826157</c:v>
                </c:pt>
                <c:pt idx="352">
                  <c:v>470.43720324887033</c:v>
                </c:pt>
                <c:pt idx="353">
                  <c:v>472.75103080235135</c:v>
                </c:pt>
                <c:pt idx="354">
                  <c:v>475.06219447888031</c:v>
                </c:pt>
                <c:pt idx="355">
                  <c:v>477.3706468318681</c:v>
                </c:pt>
                <c:pt idx="356">
                  <c:v>479.67633849558501</c:v>
                </c:pt>
                <c:pt idx="357">
                  <c:v>481.97921832759278</c:v>
                </c:pt>
                <c:pt idx="358">
                  <c:v>484.27923354553729</c:v>
                </c:pt>
                <c:pt idx="359">
                  <c:v>486.57632985801212</c:v>
                </c:pt>
                <c:pt idx="360">
                  <c:v>488.87045158933643</c:v>
                </c:pt>
                <c:pt idx="361">
                  <c:v>491.16154179820154</c:v>
                </c:pt>
                <c:pt idx="362">
                  <c:v>493.44954239022877</c:v>
                </c:pt>
                <c:pt idx="363">
                  <c:v>495.73439422455164</c:v>
                </c:pt>
                <c:pt idx="364">
                  <c:v>498.01603721458952</c:v>
                </c:pt>
                <c:pt idx="365">
                  <c:v>500.29441042321764</c:v>
                </c:pt>
                <c:pt idx="366">
                  <c:v>502.56945215256786</c:v>
                </c:pt>
                <c:pt idx="367">
                  <c:v>504.84110002870989</c:v>
                </c:pt>
                <c:pt idx="368">
                  <c:v>507.10929108147428</c:v>
                </c:pt>
                <c:pt idx="369">
                  <c:v>509.37396181968103</c:v>
                </c:pt>
                <c:pt idx="370">
                  <c:v>511.63504830203561</c:v>
                </c:pt>
                <c:pt idx="371">
                  <c:v>513.89248620395028</c:v>
                </c:pt>
                <c:pt idx="372">
                  <c:v>516.14621088054002</c:v>
                </c:pt>
                <c:pt idx="373">
                  <c:v>518.39615742603144</c:v>
                </c:pt>
                <c:pt idx="374">
                  <c:v>520.64226072981478</c:v>
                </c:pt>
                <c:pt idx="375">
                  <c:v>522.88445552935354</c:v>
                </c:pt>
                <c:pt idx="376">
                  <c:v>525.12267646015641</c:v>
                </c:pt>
                <c:pt idx="377">
                  <c:v>527.35685810300345</c:v>
                </c:pt>
                <c:pt idx="378">
                  <c:v>529.58693502860501</c:v>
                </c:pt>
                <c:pt idx="379">
                  <c:v>531.81284183986088</c:v>
                </c:pt>
                <c:pt idx="380">
                  <c:v>534.03451321187561</c:v>
                </c:pt>
                <c:pt idx="381">
                  <c:v>536.25188392987491</c:v>
                </c:pt>
                <c:pt idx="382">
                  <c:v>538.46488892515595</c:v>
                </c:pt>
                <c:pt idx="383">
                  <c:v>540.67346330919827</c:v>
                </c:pt>
                <c:pt idx="384">
                  <c:v>542.87754240604806</c:v>
                </c:pt>
                <c:pt idx="385">
                  <c:v>545.07706178308388</c:v>
                </c:pt>
                <c:pt idx="386">
                  <c:v>547.27195728026174</c:v>
                </c:pt>
                <c:pt idx="387">
                  <c:v>549.46216503793005</c:v>
                </c:pt>
                <c:pt idx="388">
                  <c:v>551.64762152329899</c:v>
                </c:pt>
                <c:pt idx="389">
                  <c:v>553.8282635556418</c:v>
                </c:pt>
                <c:pt idx="390">
                  <c:v>556.00402833029909</c:v>
                </c:pt>
                <c:pt idx="391">
                  <c:v>558.17485344155341</c:v>
                </c:pt>
                <c:pt idx="392">
                  <c:v>560.34067690443385</c:v>
                </c:pt>
                <c:pt idx="393">
                  <c:v>562.50143717550839</c:v>
                </c:pt>
                <c:pt idx="394">
                  <c:v>564.6570731727154</c:v>
                </c:pt>
                <c:pt idx="395">
                  <c:v>566.8075242942831</c:v>
                </c:pt>
                <c:pt idx="396">
                  <c:v>568.95273043678139</c:v>
                </c:pt>
                <c:pt idx="397">
                  <c:v>571.09263201234796</c:v>
                </c:pt>
                <c:pt idx="398">
                  <c:v>573.22716996512611</c:v>
                </c:pt>
                <c:pt idx="399">
                  <c:v>575.35628578695105</c:v>
                </c:pt>
                <c:pt idx="400">
                  <c:v>577.47992153231678</c:v>
                </c:pt>
                <c:pt idx="401">
                  <c:v>579.59801983265447</c:v>
                </c:pt>
                <c:pt idx="402">
                  <c:v>581.71052390995146</c:v>
                </c:pt>
                <c:pt idx="403">
                  <c:v>583.81737758973657</c:v>
                </c:pt>
                <c:pt idx="404">
                  <c:v>585.91852531345694</c:v>
                </c:pt>
                <c:pt idx="405">
                  <c:v>588.01391215026979</c:v>
                </c:pt>
                <c:pt idx="406">
                  <c:v>590.10348380826986</c:v>
                </c:pt>
                <c:pt idx="407">
                  <c:v>592.18718664517326</c:v>
                </c:pt>
                <c:pt idx="408">
                  <c:v>594.26496767847698</c:v>
                </c:pt>
                <c:pt idx="409">
                  <c:v>596.33677459511068</c:v>
                </c:pt>
                <c:pt idx="410">
                  <c:v>598.40255576059837</c:v>
                </c:pt>
                <c:pt idx="411">
                  <c:v>600.46226022774522</c:v>
                </c:pt>
                <c:pt idx="412">
                  <c:v>602.51583774486426</c:v>
                </c:pt>
                <c:pt idx="413">
                  <c:v>604.56323876355691</c:v>
                </c:pt>
                <c:pt idx="414">
                  <c:v>606.60441444606056</c:v>
                </c:pt>
                <c:pt idx="415">
                  <c:v>608.63931667217514</c:v>
                </c:pt>
                <c:pt idx="416">
                  <c:v>610.66789804578139</c:v>
                </c:pt>
                <c:pt idx="417">
                  <c:v>612.6901119009608</c:v>
                </c:pt>
                <c:pt idx="418">
                  <c:v>614.70591230772902</c:v>
                </c:pt>
                <c:pt idx="419">
                  <c:v>616.71525407739205</c:v>
                </c:pt>
                <c:pt idx="420">
                  <c:v>618.71809276753504</c:v>
                </c:pt>
                <c:pt idx="421">
                  <c:v>620.71438468665383</c:v>
                </c:pt>
                <c:pt idx="422">
                  <c:v>622.70408689843612</c:v>
                </c:pt>
                <c:pt idx="423">
                  <c:v>624.687157225703</c:v>
                </c:pt>
                <c:pt idx="424">
                  <c:v>626.66355425401764</c:v>
                </c:pt>
                <c:pt idx="425">
                  <c:v>628.63323733496918</c:v>
                </c:pt>
                <c:pt idx="426">
                  <c:v>630.59616658913967</c:v>
                </c:pt>
                <c:pt idx="427">
                  <c:v>632.55230290876148</c:v>
                </c:pt>
                <c:pt idx="428">
                  <c:v>634.50160796007196</c:v>
                </c:pt>
                <c:pt idx="429">
                  <c:v>636.44404418537215</c:v>
                </c:pt>
                <c:pt idx="430">
                  <c:v>638.37957480479668</c:v>
                </c:pt>
                <c:pt idx="431">
                  <c:v>640.30816381780085</c:v>
                </c:pt>
                <c:pt idx="432">
                  <c:v>642.22977600437162</c:v>
                </c:pt>
                <c:pt idx="433">
                  <c:v>644.14437692596823</c:v>
                </c:pt>
                <c:pt idx="434">
                  <c:v>646.0519329261989</c:v>
                </c:pt>
                <c:pt idx="435">
                  <c:v>647.95241113123939</c:v>
                </c:pt>
                <c:pt idx="436">
                  <c:v>649.84577944999853</c:v>
                </c:pt>
                <c:pt idx="437">
                  <c:v>651.73200657403731</c:v>
                </c:pt>
                <c:pt idx="438">
                  <c:v>653.61106197724678</c:v>
                </c:pt>
                <c:pt idx="439">
                  <c:v>655.48291591528937</c:v>
                </c:pt>
                <c:pt idx="440">
                  <c:v>657.34753942481018</c:v>
                </c:pt>
                <c:pt idx="441">
                  <c:v>659.20490432242298</c:v>
                </c:pt>
                <c:pt idx="442">
                  <c:v>661.05498320347522</c:v>
                </c:pt>
                <c:pt idx="443">
                  <c:v>662.897749440599</c:v>
                </c:pt>
                <c:pt idx="444">
                  <c:v>664.73317718205101</c:v>
                </c:pt>
                <c:pt idx="445">
                  <c:v>666.56124134984782</c:v>
                </c:pt>
                <c:pt idx="446">
                  <c:v>668.38191763770055</c:v>
                </c:pt>
                <c:pt idx="447">
                  <c:v>670.19518250875467</c:v>
                </c:pt>
                <c:pt idx="448">
                  <c:v>672.00101319313796</c:v>
                </c:pt>
                <c:pt idx="449">
                  <c:v>673.79938768532372</c:v>
                </c:pt>
                <c:pt idx="450">
                  <c:v>675.59028474131162</c:v>
                </c:pt>
                <c:pt idx="451">
                  <c:v>677.3736838756322</c:v>
                </c:pt>
                <c:pt idx="452">
                  <c:v>679.14956535817919</c:v>
                </c:pt>
                <c:pt idx="453">
                  <c:v>680.91791021087363</c:v>
                </c:pt>
                <c:pt idx="454">
                  <c:v>682.67870020416524</c:v>
                </c:pt>
                <c:pt idx="455">
                  <c:v>684.43191785337467</c:v>
                </c:pt>
                <c:pt idx="456">
                  <c:v>686.17754641488114</c:v>
                </c:pt>
                <c:pt idx="457">
                  <c:v>687.91556988215996</c:v>
                </c:pt>
                <c:pt idx="458">
                  <c:v>689.64597298167394</c:v>
                </c:pt>
                <c:pt idx="459">
                  <c:v>691.3687411686235</c:v>
                </c:pt>
                <c:pt idx="460">
                  <c:v>693.08386062255897</c:v>
                </c:pt>
                <c:pt idx="461">
                  <c:v>694.79131824285923</c:v>
                </c:pt>
                <c:pt idx="462">
                  <c:v>696.49110164408182</c:v>
                </c:pt>
                <c:pt idx="463">
                  <c:v>698.1831991511873</c:v>
                </c:pt>
                <c:pt idx="464">
                  <c:v>699.8675997946425</c:v>
                </c:pt>
                <c:pt idx="465">
                  <c:v>701.54429330540677</c:v>
                </c:pt>
                <c:pt idx="466">
                  <c:v>703.21327010980508</c:v>
                </c:pt>
                <c:pt idx="467">
                  <c:v>704.87452132429121</c:v>
                </c:pt>
                <c:pt idx="468">
                  <c:v>706.52803875010602</c:v>
                </c:pt>
                <c:pt idx="469">
                  <c:v>708.17381486783415</c:v>
                </c:pt>
                <c:pt idx="470">
                  <c:v>709.81184283186224</c:v>
                </c:pt>
                <c:pt idx="471">
                  <c:v>711.44211646474332</c:v>
                </c:pt>
                <c:pt idx="472">
                  <c:v>713.06463025147116</c:v>
                </c:pt>
                <c:pt idx="473">
                  <c:v>714.67937933366693</c:v>
                </c:pt>
                <c:pt idx="474">
                  <c:v>716.28635950368346</c:v>
                </c:pt>
                <c:pt idx="475">
                  <c:v>717.88556719862947</c:v>
                </c:pt>
                <c:pt idx="476">
                  <c:v>719.47699949431774</c:v>
                </c:pt>
                <c:pt idx="477">
                  <c:v>721.06065409914072</c:v>
                </c:pt>
                <c:pt idx="478">
                  <c:v>722.63652934787672</c:v>
                </c:pt>
                <c:pt idx="479">
                  <c:v>724.2046241954306</c:v>
                </c:pt>
                <c:pt idx="480">
                  <c:v>725.76493821051167</c:v>
                </c:pt>
                <c:pt idx="481">
                  <c:v>727.31747156925269</c:v>
                </c:pt>
                <c:pt idx="482">
                  <c:v>728.86222504877264</c:v>
                </c:pt>
                <c:pt idx="483">
                  <c:v>730.39920002068686</c:v>
                </c:pt>
                <c:pt idx="484">
                  <c:v>731.92839844456773</c:v>
                </c:pt>
                <c:pt idx="485">
                  <c:v>733.4498228613586</c:v>
                </c:pt>
                <c:pt idx="486">
                  <c:v>734.96347638674479</c:v>
                </c:pt>
                <c:pt idx="487">
                  <c:v>736.46936270448339</c:v>
                </c:pt>
                <c:pt idx="488">
                  <c:v>737.96748605969674</c:v>
                </c:pt>
                <c:pt idx="489">
                  <c:v>739.45785125213024</c:v>
                </c:pt>
                <c:pt idx="490">
                  <c:v>740.94046362937922</c:v>
                </c:pt>
                <c:pt idx="491">
                  <c:v>742.41532908008696</c:v>
                </c:pt>
                <c:pt idx="492">
                  <c:v>743.88245402711641</c:v>
                </c:pt>
                <c:pt idx="493">
                  <c:v>745.34184542069841</c:v>
                </c:pt>
                <c:pt idx="494">
                  <c:v>746.7935107315601</c:v>
                </c:pt>
                <c:pt idx="495">
                  <c:v>748.2374579440343</c:v>
                </c:pt>
                <c:pt idx="496">
                  <c:v>749.67369554915388</c:v>
                </c:pt>
                <c:pt idx="497">
                  <c:v>751.10223253773347</c:v>
                </c:pt>
                <c:pt idx="498">
                  <c:v>752.5230783934403</c:v>
                </c:pt>
                <c:pt idx="499">
                  <c:v>753.9362430858572</c:v>
                </c:pt>
                <c:pt idx="500">
                  <c:v>755.34173706353977</c:v>
                </c:pt>
                <c:pt idx="501">
                  <c:v>756.73957124707067</c:v>
                </c:pt>
                <c:pt idx="502">
                  <c:v>758.12975702211259</c:v>
                </c:pt>
                <c:pt idx="503">
                  <c:v>759.51230623246215</c:v>
                </c:pt>
                <c:pt idx="504">
                  <c:v>760.88723117310781</c:v>
                </c:pt>
                <c:pt idx="505">
                  <c:v>762.25454458329284</c:v>
                </c:pt>
                <c:pt idx="506">
                  <c:v>763.61425963958618</c:v>
                </c:pt>
                <c:pt idx="507">
                  <c:v>764.96638994896239</c:v>
                </c:pt>
                <c:pt idx="508">
                  <c:v>766.31094954189393</c:v>
                </c:pt>
                <c:pt idx="509">
                  <c:v>767.64795286545655</c:v>
                </c:pt>
                <c:pt idx="510">
                  <c:v>768.97741477645013</c:v>
                </c:pt>
                <c:pt idx="511">
                  <c:v>770.29935053453733</c:v>
                </c:pt>
                <c:pt idx="512">
                  <c:v>771.61377579540044</c:v>
                </c:pt>
                <c:pt idx="513">
                  <c:v>772.92070660391971</c:v>
                </c:pt>
                <c:pt idx="514">
                  <c:v>774.22015938737411</c:v>
                </c:pt>
                <c:pt idx="515">
                  <c:v>775.51215094866609</c:v>
                </c:pt>
                <c:pt idx="516">
                  <c:v>776.79669845957221</c:v>
                </c:pt>
                <c:pt idx="517">
                  <c:v>778.07381945402119</c:v>
                </c:pt>
                <c:pt idx="518">
                  <c:v>779.3435318214008</c:v>
                </c:pt>
                <c:pt idx="519">
                  <c:v>780.60585379989482</c:v>
                </c:pt>
                <c:pt idx="520">
                  <c:v>780.60585379989482</c:v>
                </c:pt>
                <c:pt idx="521">
                  <c:v>780.60585379989482</c:v>
                </c:pt>
                <c:pt idx="522">
                  <c:v>780.60585379989482</c:v>
                </c:pt>
                <c:pt idx="523">
                  <c:v>780.60585379989482</c:v>
                </c:pt>
                <c:pt idx="524">
                  <c:v>780.60585379989482</c:v>
                </c:pt>
                <c:pt idx="525">
                  <c:v>780.60585379989482</c:v>
                </c:pt>
                <c:pt idx="526">
                  <c:v>780.60585379989482</c:v>
                </c:pt>
                <c:pt idx="527">
                  <c:v>780.60585379989482</c:v>
                </c:pt>
                <c:pt idx="528">
                  <c:v>780.60585379989482</c:v>
                </c:pt>
                <c:pt idx="529">
                  <c:v>780.60585379989482</c:v>
                </c:pt>
                <c:pt idx="530">
                  <c:v>780.60585379989482</c:v>
                </c:pt>
                <c:pt idx="531">
                  <c:v>780.60585379989482</c:v>
                </c:pt>
                <c:pt idx="532">
                  <c:v>780.60585379989482</c:v>
                </c:pt>
                <c:pt idx="533">
                  <c:v>780.60585379989482</c:v>
                </c:pt>
                <c:pt idx="534">
                  <c:v>780.60585379989482</c:v>
                </c:pt>
                <c:pt idx="535">
                  <c:v>780.60585379989482</c:v>
                </c:pt>
                <c:pt idx="536">
                  <c:v>780.60585379989482</c:v>
                </c:pt>
                <c:pt idx="537">
                  <c:v>780.60585379989482</c:v>
                </c:pt>
                <c:pt idx="538">
                  <c:v>780.60585379989482</c:v>
                </c:pt>
                <c:pt idx="539">
                  <c:v>780.60585379989482</c:v>
                </c:pt>
                <c:pt idx="540">
                  <c:v>780.60585379989482</c:v>
                </c:pt>
                <c:pt idx="541">
                  <c:v>780.60585379989482</c:v>
                </c:pt>
                <c:pt idx="542">
                  <c:v>780.60585379989482</c:v>
                </c:pt>
                <c:pt idx="543">
                  <c:v>780.60585379989482</c:v>
                </c:pt>
                <c:pt idx="544">
                  <c:v>780.60585379989482</c:v>
                </c:pt>
                <c:pt idx="545">
                  <c:v>780.60585379989482</c:v>
                </c:pt>
                <c:pt idx="546">
                  <c:v>780.60585379989482</c:v>
                </c:pt>
                <c:pt idx="547">
                  <c:v>780.60585379989482</c:v>
                </c:pt>
                <c:pt idx="548">
                  <c:v>780.60585379989482</c:v>
                </c:pt>
                <c:pt idx="549">
                  <c:v>780.60585379989482</c:v>
                </c:pt>
                <c:pt idx="550">
                  <c:v>780.60585379989482</c:v>
                </c:pt>
                <c:pt idx="551">
                  <c:v>780.60585379989482</c:v>
                </c:pt>
                <c:pt idx="552">
                  <c:v>780.60585379989482</c:v>
                </c:pt>
                <c:pt idx="553">
                  <c:v>780.60585379989482</c:v>
                </c:pt>
                <c:pt idx="554">
                  <c:v>780.60585379989482</c:v>
                </c:pt>
                <c:pt idx="555">
                  <c:v>780.60585379989482</c:v>
                </c:pt>
                <c:pt idx="556">
                  <c:v>780.60585379989482</c:v>
                </c:pt>
                <c:pt idx="557">
                  <c:v>780.60585379989482</c:v>
                </c:pt>
                <c:pt idx="558">
                  <c:v>780.60585379989482</c:v>
                </c:pt>
                <c:pt idx="559">
                  <c:v>780.60585379989482</c:v>
                </c:pt>
                <c:pt idx="560">
                  <c:v>780.60585379989482</c:v>
                </c:pt>
                <c:pt idx="561">
                  <c:v>780.60585379989482</c:v>
                </c:pt>
                <c:pt idx="562">
                  <c:v>780.60585379989482</c:v>
                </c:pt>
                <c:pt idx="563">
                  <c:v>780.60585379989482</c:v>
                </c:pt>
                <c:pt idx="564">
                  <c:v>780.60585379989482</c:v>
                </c:pt>
                <c:pt idx="565">
                  <c:v>780.60585379989482</c:v>
                </c:pt>
                <c:pt idx="566">
                  <c:v>780.60585379989482</c:v>
                </c:pt>
                <c:pt idx="567">
                  <c:v>780.60585379989482</c:v>
                </c:pt>
                <c:pt idx="568">
                  <c:v>780.60585379989482</c:v>
                </c:pt>
                <c:pt idx="569">
                  <c:v>780.60585379989482</c:v>
                </c:pt>
                <c:pt idx="570">
                  <c:v>780.60585379989482</c:v>
                </c:pt>
                <c:pt idx="571">
                  <c:v>780.60585379989482</c:v>
                </c:pt>
                <c:pt idx="572">
                  <c:v>780.60585379989482</c:v>
                </c:pt>
                <c:pt idx="573">
                  <c:v>780.60585379989482</c:v>
                </c:pt>
                <c:pt idx="574">
                  <c:v>780.60585379989482</c:v>
                </c:pt>
                <c:pt idx="575">
                  <c:v>780.60585379989482</c:v>
                </c:pt>
                <c:pt idx="576">
                  <c:v>780.60585379989482</c:v>
                </c:pt>
                <c:pt idx="577">
                  <c:v>780.60585379989482</c:v>
                </c:pt>
                <c:pt idx="578">
                  <c:v>780.60585379989482</c:v>
                </c:pt>
                <c:pt idx="579">
                  <c:v>780.60585379989482</c:v>
                </c:pt>
                <c:pt idx="580">
                  <c:v>780.60585379989482</c:v>
                </c:pt>
                <c:pt idx="581">
                  <c:v>780.60585379989482</c:v>
                </c:pt>
                <c:pt idx="582">
                  <c:v>780.60585379989482</c:v>
                </c:pt>
                <c:pt idx="583">
                  <c:v>780.60585379989482</c:v>
                </c:pt>
                <c:pt idx="584">
                  <c:v>780.60585379989482</c:v>
                </c:pt>
                <c:pt idx="585">
                  <c:v>780.60585379989482</c:v>
                </c:pt>
                <c:pt idx="586">
                  <c:v>780.60585379989482</c:v>
                </c:pt>
                <c:pt idx="587">
                  <c:v>780.60585379989482</c:v>
                </c:pt>
                <c:pt idx="588">
                  <c:v>780.60585379989482</c:v>
                </c:pt>
                <c:pt idx="589">
                  <c:v>780.60585379989482</c:v>
                </c:pt>
                <c:pt idx="590">
                  <c:v>780.60585379989482</c:v>
                </c:pt>
                <c:pt idx="591">
                  <c:v>780.60585379989482</c:v>
                </c:pt>
                <c:pt idx="592">
                  <c:v>780.60585379989482</c:v>
                </c:pt>
                <c:pt idx="593">
                  <c:v>780.60585379989482</c:v>
                </c:pt>
                <c:pt idx="594">
                  <c:v>780.60585379989482</c:v>
                </c:pt>
                <c:pt idx="595">
                  <c:v>780.60585379989482</c:v>
                </c:pt>
                <c:pt idx="596">
                  <c:v>780.60585379989482</c:v>
                </c:pt>
                <c:pt idx="597">
                  <c:v>780.60585379989482</c:v>
                </c:pt>
                <c:pt idx="598">
                  <c:v>780.60585379989482</c:v>
                </c:pt>
                <c:pt idx="599">
                  <c:v>780.60585379989482</c:v>
                </c:pt>
                <c:pt idx="600">
                  <c:v>780.60585379989482</c:v>
                </c:pt>
                <c:pt idx="601">
                  <c:v>780.60585379989482</c:v>
                </c:pt>
                <c:pt idx="602">
                  <c:v>780.60585379989482</c:v>
                </c:pt>
                <c:pt idx="603">
                  <c:v>780.60585379989482</c:v>
                </c:pt>
                <c:pt idx="604">
                  <c:v>780.60585379989482</c:v>
                </c:pt>
                <c:pt idx="605">
                  <c:v>780.60585379989482</c:v>
                </c:pt>
                <c:pt idx="606">
                  <c:v>780.60585379989482</c:v>
                </c:pt>
                <c:pt idx="607">
                  <c:v>780.60585379989482</c:v>
                </c:pt>
                <c:pt idx="608">
                  <c:v>780.60585379989482</c:v>
                </c:pt>
                <c:pt idx="609">
                  <c:v>780.60585379989482</c:v>
                </c:pt>
                <c:pt idx="610">
                  <c:v>780.60585379989482</c:v>
                </c:pt>
                <c:pt idx="611">
                  <c:v>780.60585379989482</c:v>
                </c:pt>
                <c:pt idx="612">
                  <c:v>780.60585379989482</c:v>
                </c:pt>
                <c:pt idx="613">
                  <c:v>780.60585379989482</c:v>
                </c:pt>
                <c:pt idx="614">
                  <c:v>780.60585379989482</c:v>
                </c:pt>
                <c:pt idx="615">
                  <c:v>780.60585379989482</c:v>
                </c:pt>
                <c:pt idx="616">
                  <c:v>780.60585379989482</c:v>
                </c:pt>
                <c:pt idx="617">
                  <c:v>780.60585379989482</c:v>
                </c:pt>
                <c:pt idx="618">
                  <c:v>780.60585379989482</c:v>
                </c:pt>
                <c:pt idx="619">
                  <c:v>780.60585379989482</c:v>
                </c:pt>
                <c:pt idx="620">
                  <c:v>780.60585379989482</c:v>
                </c:pt>
                <c:pt idx="621">
                  <c:v>780.60585379989482</c:v>
                </c:pt>
                <c:pt idx="622">
                  <c:v>780.60585379989482</c:v>
                </c:pt>
                <c:pt idx="623">
                  <c:v>780.60585379989482</c:v>
                </c:pt>
                <c:pt idx="624">
                  <c:v>780.60585379989482</c:v>
                </c:pt>
                <c:pt idx="625">
                  <c:v>780.60585379989482</c:v>
                </c:pt>
                <c:pt idx="626">
                  <c:v>780.60585379989482</c:v>
                </c:pt>
                <c:pt idx="627">
                  <c:v>780.60585379989482</c:v>
                </c:pt>
                <c:pt idx="628">
                  <c:v>780.60585379989482</c:v>
                </c:pt>
                <c:pt idx="629">
                  <c:v>780.60585379989482</c:v>
                </c:pt>
                <c:pt idx="630">
                  <c:v>780.60585379989482</c:v>
                </c:pt>
                <c:pt idx="631">
                  <c:v>780.60585379989482</c:v>
                </c:pt>
                <c:pt idx="632">
                  <c:v>780.60585379989482</c:v>
                </c:pt>
                <c:pt idx="633">
                  <c:v>780.60585379989482</c:v>
                </c:pt>
                <c:pt idx="634">
                  <c:v>780.60585379989482</c:v>
                </c:pt>
                <c:pt idx="635">
                  <c:v>780.60585379989482</c:v>
                </c:pt>
                <c:pt idx="636">
                  <c:v>780.60585379989482</c:v>
                </c:pt>
                <c:pt idx="637">
                  <c:v>780.60585379989482</c:v>
                </c:pt>
                <c:pt idx="638">
                  <c:v>780.60585379989482</c:v>
                </c:pt>
                <c:pt idx="639">
                  <c:v>780.60585379989482</c:v>
                </c:pt>
                <c:pt idx="640">
                  <c:v>780.60585379989482</c:v>
                </c:pt>
                <c:pt idx="641">
                  <c:v>780.60585379989482</c:v>
                </c:pt>
                <c:pt idx="642">
                  <c:v>780.60585379989482</c:v>
                </c:pt>
                <c:pt idx="643">
                  <c:v>780.60585379989482</c:v>
                </c:pt>
                <c:pt idx="644">
                  <c:v>780.60585379989482</c:v>
                </c:pt>
                <c:pt idx="645">
                  <c:v>780.60585379989482</c:v>
                </c:pt>
                <c:pt idx="646">
                  <c:v>780.60585379989482</c:v>
                </c:pt>
                <c:pt idx="647">
                  <c:v>780.60585379989482</c:v>
                </c:pt>
                <c:pt idx="648">
                  <c:v>780.60585379989482</c:v>
                </c:pt>
                <c:pt idx="649">
                  <c:v>780.60585379989482</c:v>
                </c:pt>
                <c:pt idx="650">
                  <c:v>780.60585379989482</c:v>
                </c:pt>
                <c:pt idx="651">
                  <c:v>780.60585379989482</c:v>
                </c:pt>
                <c:pt idx="652">
                  <c:v>780.60585379989482</c:v>
                </c:pt>
                <c:pt idx="653">
                  <c:v>780.60585379989482</c:v>
                </c:pt>
                <c:pt idx="654">
                  <c:v>780.60585379989482</c:v>
                </c:pt>
                <c:pt idx="655">
                  <c:v>780.60585379989482</c:v>
                </c:pt>
                <c:pt idx="656">
                  <c:v>780.60585379989482</c:v>
                </c:pt>
                <c:pt idx="657">
                  <c:v>780.60585379989482</c:v>
                </c:pt>
                <c:pt idx="658">
                  <c:v>780.60585379989482</c:v>
                </c:pt>
                <c:pt idx="659">
                  <c:v>780.60585379989482</c:v>
                </c:pt>
                <c:pt idx="660">
                  <c:v>780.60585379989482</c:v>
                </c:pt>
                <c:pt idx="661">
                  <c:v>780.60585379989482</c:v>
                </c:pt>
                <c:pt idx="662">
                  <c:v>780.60585379989482</c:v>
                </c:pt>
                <c:pt idx="663">
                  <c:v>780.60585379989482</c:v>
                </c:pt>
                <c:pt idx="664">
                  <c:v>780.60585379989482</c:v>
                </c:pt>
                <c:pt idx="665">
                  <c:v>780.60585379989482</c:v>
                </c:pt>
                <c:pt idx="666">
                  <c:v>780.60585379989482</c:v>
                </c:pt>
                <c:pt idx="667">
                  <c:v>780.60585379989482</c:v>
                </c:pt>
                <c:pt idx="668">
                  <c:v>780.60585379989482</c:v>
                </c:pt>
                <c:pt idx="669">
                  <c:v>780.60585379989482</c:v>
                </c:pt>
                <c:pt idx="670">
                  <c:v>780.60585379989482</c:v>
                </c:pt>
                <c:pt idx="671">
                  <c:v>780.60585379989482</c:v>
                </c:pt>
                <c:pt idx="672">
                  <c:v>780.60585379989482</c:v>
                </c:pt>
                <c:pt idx="673">
                  <c:v>780.60585379989482</c:v>
                </c:pt>
                <c:pt idx="674">
                  <c:v>780.60585379989482</c:v>
                </c:pt>
                <c:pt idx="675">
                  <c:v>780.60585379989482</c:v>
                </c:pt>
                <c:pt idx="676">
                  <c:v>780.60585379989482</c:v>
                </c:pt>
                <c:pt idx="677">
                  <c:v>780.60585379989482</c:v>
                </c:pt>
                <c:pt idx="678">
                  <c:v>780.60585379989482</c:v>
                </c:pt>
                <c:pt idx="679">
                  <c:v>780.60585379989482</c:v>
                </c:pt>
                <c:pt idx="680">
                  <c:v>780.60585379989482</c:v>
                </c:pt>
                <c:pt idx="681">
                  <c:v>780.60585379989482</c:v>
                </c:pt>
                <c:pt idx="682">
                  <c:v>780.60585379989482</c:v>
                </c:pt>
                <c:pt idx="683">
                  <c:v>780.60585379989482</c:v>
                </c:pt>
                <c:pt idx="684">
                  <c:v>780.60585379989482</c:v>
                </c:pt>
                <c:pt idx="685">
                  <c:v>780.60585379989482</c:v>
                </c:pt>
                <c:pt idx="686">
                  <c:v>780.60585379989482</c:v>
                </c:pt>
                <c:pt idx="687">
                  <c:v>780.60585379989482</c:v>
                </c:pt>
                <c:pt idx="688">
                  <c:v>780.60585379989482</c:v>
                </c:pt>
                <c:pt idx="689">
                  <c:v>780.60585379989482</c:v>
                </c:pt>
                <c:pt idx="690">
                  <c:v>780.60585379989482</c:v>
                </c:pt>
                <c:pt idx="691">
                  <c:v>780.60585379989482</c:v>
                </c:pt>
                <c:pt idx="692">
                  <c:v>780.60585379989482</c:v>
                </c:pt>
                <c:pt idx="693">
                  <c:v>780.60585379989482</c:v>
                </c:pt>
                <c:pt idx="694">
                  <c:v>780.60585379989482</c:v>
                </c:pt>
                <c:pt idx="695">
                  <c:v>780.60585379989482</c:v>
                </c:pt>
                <c:pt idx="696">
                  <c:v>780.60585379989482</c:v>
                </c:pt>
                <c:pt idx="697">
                  <c:v>780.60585379989482</c:v>
                </c:pt>
                <c:pt idx="698">
                  <c:v>780.60585379989482</c:v>
                </c:pt>
                <c:pt idx="699">
                  <c:v>780.60585379989482</c:v>
                </c:pt>
                <c:pt idx="700">
                  <c:v>780.60585379989482</c:v>
                </c:pt>
                <c:pt idx="701">
                  <c:v>780.60585379989482</c:v>
                </c:pt>
                <c:pt idx="702">
                  <c:v>780.60585379989482</c:v>
                </c:pt>
                <c:pt idx="703">
                  <c:v>780.60585379989482</c:v>
                </c:pt>
                <c:pt idx="704">
                  <c:v>780.60585379989482</c:v>
                </c:pt>
                <c:pt idx="705">
                  <c:v>780.60585379989482</c:v>
                </c:pt>
                <c:pt idx="706">
                  <c:v>780.60585379989482</c:v>
                </c:pt>
                <c:pt idx="707">
                  <c:v>780.60585379989482</c:v>
                </c:pt>
                <c:pt idx="708">
                  <c:v>780.60585379989482</c:v>
                </c:pt>
                <c:pt idx="709">
                  <c:v>780.60585379989482</c:v>
                </c:pt>
                <c:pt idx="710">
                  <c:v>780.60585379989482</c:v>
                </c:pt>
                <c:pt idx="711">
                  <c:v>780.60585379989482</c:v>
                </c:pt>
                <c:pt idx="712">
                  <c:v>780.60585379989482</c:v>
                </c:pt>
                <c:pt idx="713">
                  <c:v>780.60585379989482</c:v>
                </c:pt>
                <c:pt idx="714">
                  <c:v>780.60585379989482</c:v>
                </c:pt>
                <c:pt idx="715">
                  <c:v>780.60585379989482</c:v>
                </c:pt>
                <c:pt idx="716">
                  <c:v>780.60585379989482</c:v>
                </c:pt>
                <c:pt idx="717">
                  <c:v>780.60585379989482</c:v>
                </c:pt>
                <c:pt idx="718">
                  <c:v>780.60585379989482</c:v>
                </c:pt>
                <c:pt idx="719">
                  <c:v>780.60585379989482</c:v>
                </c:pt>
                <c:pt idx="720">
                  <c:v>780.60585379989482</c:v>
                </c:pt>
                <c:pt idx="721">
                  <c:v>780.60585379989482</c:v>
                </c:pt>
                <c:pt idx="722">
                  <c:v>780.60585379989482</c:v>
                </c:pt>
                <c:pt idx="723">
                  <c:v>780.60585379989482</c:v>
                </c:pt>
                <c:pt idx="724">
                  <c:v>780.60585379989482</c:v>
                </c:pt>
                <c:pt idx="725">
                  <c:v>780.60585379989482</c:v>
                </c:pt>
                <c:pt idx="726">
                  <c:v>780.60585379989482</c:v>
                </c:pt>
                <c:pt idx="727">
                  <c:v>780.60585379989482</c:v>
                </c:pt>
                <c:pt idx="728">
                  <c:v>780.60585379989482</c:v>
                </c:pt>
                <c:pt idx="729">
                  <c:v>780.60585379989482</c:v>
                </c:pt>
                <c:pt idx="730">
                  <c:v>780.60585379989482</c:v>
                </c:pt>
                <c:pt idx="731">
                  <c:v>780.60585379989482</c:v>
                </c:pt>
                <c:pt idx="732">
                  <c:v>780.60585379989482</c:v>
                </c:pt>
                <c:pt idx="733">
                  <c:v>780.60585379989482</c:v>
                </c:pt>
                <c:pt idx="734">
                  <c:v>780.60585379989482</c:v>
                </c:pt>
                <c:pt idx="735">
                  <c:v>780.60585379989482</c:v>
                </c:pt>
                <c:pt idx="736">
                  <c:v>780.60585379989482</c:v>
                </c:pt>
                <c:pt idx="737">
                  <c:v>780.60585379989482</c:v>
                </c:pt>
                <c:pt idx="738">
                  <c:v>780.60585379989482</c:v>
                </c:pt>
                <c:pt idx="739">
                  <c:v>780.60585379989482</c:v>
                </c:pt>
                <c:pt idx="740">
                  <c:v>780.60585379989482</c:v>
                </c:pt>
                <c:pt idx="741">
                  <c:v>780.60585379989482</c:v>
                </c:pt>
                <c:pt idx="742">
                  <c:v>780.60585379989482</c:v>
                </c:pt>
                <c:pt idx="743">
                  <c:v>780.60585379989482</c:v>
                </c:pt>
                <c:pt idx="744">
                  <c:v>780.60585379989482</c:v>
                </c:pt>
                <c:pt idx="745">
                  <c:v>780.60585379989482</c:v>
                </c:pt>
                <c:pt idx="746">
                  <c:v>780.60585379989482</c:v>
                </c:pt>
                <c:pt idx="747">
                  <c:v>780.60585379989482</c:v>
                </c:pt>
                <c:pt idx="748">
                  <c:v>780.60585379989482</c:v>
                </c:pt>
                <c:pt idx="749">
                  <c:v>780.60585379989482</c:v>
                </c:pt>
                <c:pt idx="750">
                  <c:v>780.60585379989482</c:v>
                </c:pt>
                <c:pt idx="751">
                  <c:v>780.60585379989482</c:v>
                </c:pt>
                <c:pt idx="752">
                  <c:v>780.60585379989482</c:v>
                </c:pt>
                <c:pt idx="753">
                  <c:v>780.60585379989482</c:v>
                </c:pt>
                <c:pt idx="754">
                  <c:v>780.60585379989482</c:v>
                </c:pt>
                <c:pt idx="755">
                  <c:v>780.60585379989482</c:v>
                </c:pt>
                <c:pt idx="756">
                  <c:v>780.60585379989482</c:v>
                </c:pt>
                <c:pt idx="757">
                  <c:v>780.60585379989482</c:v>
                </c:pt>
                <c:pt idx="758">
                  <c:v>780.60585379989482</c:v>
                </c:pt>
                <c:pt idx="759">
                  <c:v>780.60585379989482</c:v>
                </c:pt>
                <c:pt idx="760">
                  <c:v>780.60585379989482</c:v>
                </c:pt>
                <c:pt idx="761">
                  <c:v>780.60585379989482</c:v>
                </c:pt>
                <c:pt idx="762">
                  <c:v>780.60585379989482</c:v>
                </c:pt>
                <c:pt idx="763">
                  <c:v>780.60585379989482</c:v>
                </c:pt>
                <c:pt idx="764">
                  <c:v>780.60585379989482</c:v>
                </c:pt>
                <c:pt idx="765">
                  <c:v>780.60585379989482</c:v>
                </c:pt>
                <c:pt idx="766">
                  <c:v>780.60585379989482</c:v>
                </c:pt>
                <c:pt idx="767">
                  <c:v>780.60585379989482</c:v>
                </c:pt>
                <c:pt idx="768">
                  <c:v>780.60585379989482</c:v>
                </c:pt>
                <c:pt idx="769">
                  <c:v>780.60585379989482</c:v>
                </c:pt>
                <c:pt idx="770">
                  <c:v>780.60585379989482</c:v>
                </c:pt>
                <c:pt idx="771">
                  <c:v>780.60585379989482</c:v>
                </c:pt>
                <c:pt idx="772">
                  <c:v>780.60585379989482</c:v>
                </c:pt>
                <c:pt idx="773">
                  <c:v>780.60585379989482</c:v>
                </c:pt>
                <c:pt idx="774">
                  <c:v>780.60585379989482</c:v>
                </c:pt>
                <c:pt idx="775">
                  <c:v>780.60585379989482</c:v>
                </c:pt>
                <c:pt idx="776">
                  <c:v>780.60585379989482</c:v>
                </c:pt>
                <c:pt idx="777">
                  <c:v>780.60585379989482</c:v>
                </c:pt>
                <c:pt idx="778">
                  <c:v>780.60585379989482</c:v>
                </c:pt>
                <c:pt idx="779">
                  <c:v>780.60585379989482</c:v>
                </c:pt>
                <c:pt idx="780">
                  <c:v>780.60585379989482</c:v>
                </c:pt>
                <c:pt idx="781">
                  <c:v>780.60585379989482</c:v>
                </c:pt>
                <c:pt idx="782">
                  <c:v>780.60585379989482</c:v>
                </c:pt>
                <c:pt idx="783">
                  <c:v>780.60585379989482</c:v>
                </c:pt>
                <c:pt idx="784">
                  <c:v>780.60585379989482</c:v>
                </c:pt>
                <c:pt idx="785">
                  <c:v>780.60585379989482</c:v>
                </c:pt>
                <c:pt idx="786">
                  <c:v>780.60585379989482</c:v>
                </c:pt>
                <c:pt idx="787">
                  <c:v>780.60585379989482</c:v>
                </c:pt>
                <c:pt idx="788">
                  <c:v>780.60585379989482</c:v>
                </c:pt>
                <c:pt idx="789">
                  <c:v>780.60585379989482</c:v>
                </c:pt>
                <c:pt idx="790">
                  <c:v>780.60585379989482</c:v>
                </c:pt>
                <c:pt idx="791">
                  <c:v>780.60585379989482</c:v>
                </c:pt>
                <c:pt idx="792">
                  <c:v>780.60585379989482</c:v>
                </c:pt>
                <c:pt idx="793">
                  <c:v>780.60585379989482</c:v>
                </c:pt>
                <c:pt idx="794">
                  <c:v>780.60585379989482</c:v>
                </c:pt>
                <c:pt idx="795">
                  <c:v>780.60585379989482</c:v>
                </c:pt>
                <c:pt idx="796">
                  <c:v>780.60585379989482</c:v>
                </c:pt>
                <c:pt idx="797">
                  <c:v>780.60585379989482</c:v>
                </c:pt>
                <c:pt idx="798">
                  <c:v>780.60585379989482</c:v>
                </c:pt>
                <c:pt idx="799">
                  <c:v>780.60585379989482</c:v>
                </c:pt>
                <c:pt idx="800">
                  <c:v>780.60585379989482</c:v>
                </c:pt>
                <c:pt idx="801">
                  <c:v>780.60585379989482</c:v>
                </c:pt>
                <c:pt idx="802">
                  <c:v>780.60585379989482</c:v>
                </c:pt>
                <c:pt idx="803">
                  <c:v>780.60585379989482</c:v>
                </c:pt>
                <c:pt idx="804">
                  <c:v>780.60585379989482</c:v>
                </c:pt>
                <c:pt idx="805">
                  <c:v>780.60585379989482</c:v>
                </c:pt>
                <c:pt idx="806">
                  <c:v>780.60585379989482</c:v>
                </c:pt>
                <c:pt idx="807">
                  <c:v>780.60585379989482</c:v>
                </c:pt>
                <c:pt idx="808">
                  <c:v>780.60585379989482</c:v>
                </c:pt>
                <c:pt idx="809">
                  <c:v>780.60585379989482</c:v>
                </c:pt>
                <c:pt idx="810">
                  <c:v>780.60585379989482</c:v>
                </c:pt>
                <c:pt idx="811">
                  <c:v>780.60585379989482</c:v>
                </c:pt>
                <c:pt idx="812">
                  <c:v>780.60585379989482</c:v>
                </c:pt>
                <c:pt idx="813">
                  <c:v>780.60585379989482</c:v>
                </c:pt>
                <c:pt idx="814">
                  <c:v>780.60585379989482</c:v>
                </c:pt>
                <c:pt idx="815">
                  <c:v>780.60585379989482</c:v>
                </c:pt>
                <c:pt idx="816">
                  <c:v>780.60585379989482</c:v>
                </c:pt>
                <c:pt idx="817">
                  <c:v>780.60585379989482</c:v>
                </c:pt>
                <c:pt idx="818">
                  <c:v>780.60585379989482</c:v>
                </c:pt>
                <c:pt idx="819">
                  <c:v>780.60585379989482</c:v>
                </c:pt>
                <c:pt idx="820">
                  <c:v>780.60585379989482</c:v>
                </c:pt>
                <c:pt idx="821">
                  <c:v>780.60585379989482</c:v>
                </c:pt>
                <c:pt idx="822">
                  <c:v>780.60585379989482</c:v>
                </c:pt>
                <c:pt idx="823">
                  <c:v>780.60585379989482</c:v>
                </c:pt>
                <c:pt idx="824">
                  <c:v>780.60585379989482</c:v>
                </c:pt>
                <c:pt idx="825">
                  <c:v>780.60585379989482</c:v>
                </c:pt>
                <c:pt idx="826">
                  <c:v>780.60585379989482</c:v>
                </c:pt>
                <c:pt idx="827">
                  <c:v>780.60585379989482</c:v>
                </c:pt>
                <c:pt idx="828">
                  <c:v>780.60585379989482</c:v>
                </c:pt>
                <c:pt idx="829">
                  <c:v>780.60585379989482</c:v>
                </c:pt>
                <c:pt idx="830">
                  <c:v>780.60585379989482</c:v>
                </c:pt>
                <c:pt idx="831">
                  <c:v>780.60585379989482</c:v>
                </c:pt>
                <c:pt idx="832">
                  <c:v>780.60585379989482</c:v>
                </c:pt>
                <c:pt idx="833">
                  <c:v>780.60585379989482</c:v>
                </c:pt>
                <c:pt idx="834">
                  <c:v>780.60585379989482</c:v>
                </c:pt>
                <c:pt idx="835">
                  <c:v>780.60585379989482</c:v>
                </c:pt>
                <c:pt idx="836">
                  <c:v>780.60585379989482</c:v>
                </c:pt>
                <c:pt idx="837">
                  <c:v>780.60585379989482</c:v>
                </c:pt>
                <c:pt idx="838">
                  <c:v>780.60585379989482</c:v>
                </c:pt>
                <c:pt idx="839">
                  <c:v>780.60585379989482</c:v>
                </c:pt>
                <c:pt idx="840">
                  <c:v>780.60585379989482</c:v>
                </c:pt>
                <c:pt idx="841">
                  <c:v>780.60585379989482</c:v>
                </c:pt>
                <c:pt idx="842">
                  <c:v>780.60585379989482</c:v>
                </c:pt>
                <c:pt idx="843">
                  <c:v>780.60585379989482</c:v>
                </c:pt>
                <c:pt idx="844">
                  <c:v>780.60585379989482</c:v>
                </c:pt>
                <c:pt idx="845">
                  <c:v>780.60585379989482</c:v>
                </c:pt>
                <c:pt idx="846">
                  <c:v>780.60585379989482</c:v>
                </c:pt>
                <c:pt idx="847">
                  <c:v>780.60585379989482</c:v>
                </c:pt>
                <c:pt idx="848">
                  <c:v>780.60585379989482</c:v>
                </c:pt>
                <c:pt idx="849">
                  <c:v>780.60585379989482</c:v>
                </c:pt>
                <c:pt idx="850">
                  <c:v>780.60585379989482</c:v>
                </c:pt>
                <c:pt idx="851">
                  <c:v>780.60585379989482</c:v>
                </c:pt>
                <c:pt idx="852">
                  <c:v>780.60585379989482</c:v>
                </c:pt>
                <c:pt idx="853">
                  <c:v>780.60585379989482</c:v>
                </c:pt>
                <c:pt idx="854">
                  <c:v>780.60585379989482</c:v>
                </c:pt>
                <c:pt idx="855">
                  <c:v>780.60585379989482</c:v>
                </c:pt>
                <c:pt idx="856">
                  <c:v>780.60585379989482</c:v>
                </c:pt>
                <c:pt idx="857">
                  <c:v>780.60585379989482</c:v>
                </c:pt>
                <c:pt idx="858">
                  <c:v>780.60585379989482</c:v>
                </c:pt>
                <c:pt idx="859">
                  <c:v>780.60585379989482</c:v>
                </c:pt>
                <c:pt idx="860">
                  <c:v>780.60585379989482</c:v>
                </c:pt>
                <c:pt idx="861">
                  <c:v>780.60585379989482</c:v>
                </c:pt>
                <c:pt idx="862">
                  <c:v>780.60585379989482</c:v>
                </c:pt>
                <c:pt idx="863">
                  <c:v>780.60585379989482</c:v>
                </c:pt>
                <c:pt idx="864">
                  <c:v>780.60585379989482</c:v>
                </c:pt>
                <c:pt idx="865">
                  <c:v>780.60585379989482</c:v>
                </c:pt>
                <c:pt idx="866">
                  <c:v>780.60585379989482</c:v>
                </c:pt>
                <c:pt idx="867">
                  <c:v>780.60585379989482</c:v>
                </c:pt>
                <c:pt idx="868">
                  <c:v>780.60585379989482</c:v>
                </c:pt>
                <c:pt idx="869">
                  <c:v>780.60585379989482</c:v>
                </c:pt>
                <c:pt idx="870">
                  <c:v>780.60585379989482</c:v>
                </c:pt>
                <c:pt idx="871">
                  <c:v>780.60585379989482</c:v>
                </c:pt>
                <c:pt idx="872">
                  <c:v>780.60585379989482</c:v>
                </c:pt>
                <c:pt idx="873">
                  <c:v>780.60585379989482</c:v>
                </c:pt>
                <c:pt idx="874">
                  <c:v>780.60585379989482</c:v>
                </c:pt>
                <c:pt idx="875">
                  <c:v>780.60585379989482</c:v>
                </c:pt>
                <c:pt idx="876">
                  <c:v>780.60585379989482</c:v>
                </c:pt>
                <c:pt idx="877">
                  <c:v>780.60585379989482</c:v>
                </c:pt>
                <c:pt idx="878">
                  <c:v>780.60585379989482</c:v>
                </c:pt>
                <c:pt idx="879">
                  <c:v>780.60585379989482</c:v>
                </c:pt>
                <c:pt idx="880">
                  <c:v>780.60585379989482</c:v>
                </c:pt>
                <c:pt idx="881">
                  <c:v>780.60585379989482</c:v>
                </c:pt>
                <c:pt idx="882">
                  <c:v>780.60585379989482</c:v>
                </c:pt>
                <c:pt idx="883">
                  <c:v>780.60585379989482</c:v>
                </c:pt>
                <c:pt idx="884">
                  <c:v>780.60585379989482</c:v>
                </c:pt>
                <c:pt idx="885">
                  <c:v>780.60585379989482</c:v>
                </c:pt>
                <c:pt idx="886">
                  <c:v>780.60585379989482</c:v>
                </c:pt>
                <c:pt idx="887">
                  <c:v>780.60585379989482</c:v>
                </c:pt>
                <c:pt idx="888">
                  <c:v>780.60585379989482</c:v>
                </c:pt>
                <c:pt idx="889">
                  <c:v>780.60585379989482</c:v>
                </c:pt>
                <c:pt idx="890">
                  <c:v>780.60585379989482</c:v>
                </c:pt>
                <c:pt idx="891">
                  <c:v>780.60585379989482</c:v>
                </c:pt>
                <c:pt idx="892">
                  <c:v>780.60585379989482</c:v>
                </c:pt>
                <c:pt idx="893">
                  <c:v>780.60585379989482</c:v>
                </c:pt>
                <c:pt idx="894">
                  <c:v>780.60585379989482</c:v>
                </c:pt>
                <c:pt idx="895">
                  <c:v>780.60585379989482</c:v>
                </c:pt>
                <c:pt idx="896">
                  <c:v>780.60585379989482</c:v>
                </c:pt>
                <c:pt idx="897">
                  <c:v>780.60585379989482</c:v>
                </c:pt>
                <c:pt idx="898">
                  <c:v>780.60585379989482</c:v>
                </c:pt>
                <c:pt idx="899">
                  <c:v>780.60585379989482</c:v>
                </c:pt>
                <c:pt idx="900">
                  <c:v>780.60585379989482</c:v>
                </c:pt>
                <c:pt idx="901">
                  <c:v>780.60585379989482</c:v>
                </c:pt>
                <c:pt idx="902">
                  <c:v>780.60585379989482</c:v>
                </c:pt>
                <c:pt idx="903">
                  <c:v>780.60585379989482</c:v>
                </c:pt>
                <c:pt idx="904">
                  <c:v>780.60585379989482</c:v>
                </c:pt>
                <c:pt idx="905">
                  <c:v>780.60585379989482</c:v>
                </c:pt>
                <c:pt idx="906">
                  <c:v>780.60585379989482</c:v>
                </c:pt>
                <c:pt idx="907">
                  <c:v>780.60585379989482</c:v>
                </c:pt>
                <c:pt idx="908">
                  <c:v>780.60585379989482</c:v>
                </c:pt>
                <c:pt idx="909">
                  <c:v>780.60585379989482</c:v>
                </c:pt>
                <c:pt idx="910">
                  <c:v>780.60585379989482</c:v>
                </c:pt>
                <c:pt idx="911">
                  <c:v>780.60585379989482</c:v>
                </c:pt>
                <c:pt idx="912">
                  <c:v>780.60585379989482</c:v>
                </c:pt>
                <c:pt idx="913">
                  <c:v>780.60585379989482</c:v>
                </c:pt>
                <c:pt idx="914">
                  <c:v>780.60585379989482</c:v>
                </c:pt>
                <c:pt idx="915">
                  <c:v>780.60585379989482</c:v>
                </c:pt>
                <c:pt idx="916">
                  <c:v>780.60585379989482</c:v>
                </c:pt>
                <c:pt idx="917">
                  <c:v>780.60585379989482</c:v>
                </c:pt>
                <c:pt idx="918">
                  <c:v>780.60585379989482</c:v>
                </c:pt>
                <c:pt idx="919">
                  <c:v>780.60585379989482</c:v>
                </c:pt>
                <c:pt idx="920">
                  <c:v>780.60585379989482</c:v>
                </c:pt>
                <c:pt idx="921">
                  <c:v>780.60585379989482</c:v>
                </c:pt>
                <c:pt idx="922">
                  <c:v>780.60585379989482</c:v>
                </c:pt>
                <c:pt idx="923">
                  <c:v>780.60585379989482</c:v>
                </c:pt>
                <c:pt idx="924">
                  <c:v>780.60585379989482</c:v>
                </c:pt>
                <c:pt idx="925">
                  <c:v>780.60585379989482</c:v>
                </c:pt>
                <c:pt idx="926">
                  <c:v>780.60585379989482</c:v>
                </c:pt>
                <c:pt idx="927">
                  <c:v>780.60585379989482</c:v>
                </c:pt>
                <c:pt idx="928">
                  <c:v>780.60585379989482</c:v>
                </c:pt>
                <c:pt idx="929">
                  <c:v>780.60585379989482</c:v>
                </c:pt>
                <c:pt idx="930">
                  <c:v>780.60585379989482</c:v>
                </c:pt>
                <c:pt idx="931">
                  <c:v>780.60585379989482</c:v>
                </c:pt>
                <c:pt idx="932">
                  <c:v>780.60585379989482</c:v>
                </c:pt>
                <c:pt idx="933">
                  <c:v>780.60585379989482</c:v>
                </c:pt>
                <c:pt idx="934">
                  <c:v>780.60585379989482</c:v>
                </c:pt>
                <c:pt idx="935">
                  <c:v>780.60585379989482</c:v>
                </c:pt>
                <c:pt idx="936">
                  <c:v>780.60585379989482</c:v>
                </c:pt>
                <c:pt idx="937">
                  <c:v>780.60585379989482</c:v>
                </c:pt>
                <c:pt idx="938">
                  <c:v>780.60585379989482</c:v>
                </c:pt>
                <c:pt idx="939">
                  <c:v>780.60585379989482</c:v>
                </c:pt>
                <c:pt idx="940">
                  <c:v>780.60585379989482</c:v>
                </c:pt>
                <c:pt idx="941">
                  <c:v>780.60585379989482</c:v>
                </c:pt>
                <c:pt idx="942">
                  <c:v>780.60585379989482</c:v>
                </c:pt>
                <c:pt idx="943">
                  <c:v>780.60585379989482</c:v>
                </c:pt>
                <c:pt idx="944">
                  <c:v>780.60585379989482</c:v>
                </c:pt>
                <c:pt idx="945">
                  <c:v>780.60585379989482</c:v>
                </c:pt>
                <c:pt idx="946">
                  <c:v>780.60585379989482</c:v>
                </c:pt>
                <c:pt idx="947">
                  <c:v>780.60585379989482</c:v>
                </c:pt>
                <c:pt idx="948">
                  <c:v>780.60585379989482</c:v>
                </c:pt>
                <c:pt idx="949">
                  <c:v>780.60585379989482</c:v>
                </c:pt>
                <c:pt idx="950">
                  <c:v>780.60585379989482</c:v>
                </c:pt>
                <c:pt idx="951">
                  <c:v>780.60585379989482</c:v>
                </c:pt>
                <c:pt idx="952">
                  <c:v>780.60585379989482</c:v>
                </c:pt>
                <c:pt idx="953">
                  <c:v>780.60585379989482</c:v>
                </c:pt>
                <c:pt idx="954">
                  <c:v>780.60585379989482</c:v>
                </c:pt>
                <c:pt idx="955">
                  <c:v>780.60585379989482</c:v>
                </c:pt>
                <c:pt idx="956">
                  <c:v>780.60585379989482</c:v>
                </c:pt>
                <c:pt idx="957">
                  <c:v>780.60585379989482</c:v>
                </c:pt>
                <c:pt idx="958">
                  <c:v>780.60585379989482</c:v>
                </c:pt>
                <c:pt idx="959">
                  <c:v>780.60585379989482</c:v>
                </c:pt>
                <c:pt idx="960">
                  <c:v>780.60585379989482</c:v>
                </c:pt>
                <c:pt idx="961">
                  <c:v>780.60585379989482</c:v>
                </c:pt>
                <c:pt idx="962">
                  <c:v>780.60585379989482</c:v>
                </c:pt>
                <c:pt idx="963">
                  <c:v>780.60585379989482</c:v>
                </c:pt>
                <c:pt idx="964">
                  <c:v>780.60585379989482</c:v>
                </c:pt>
                <c:pt idx="965">
                  <c:v>780.60585379989482</c:v>
                </c:pt>
                <c:pt idx="966">
                  <c:v>780.60585379989482</c:v>
                </c:pt>
                <c:pt idx="967">
                  <c:v>780.60585379989482</c:v>
                </c:pt>
                <c:pt idx="968">
                  <c:v>780.60585379989482</c:v>
                </c:pt>
                <c:pt idx="969">
                  <c:v>780.60585379989482</c:v>
                </c:pt>
                <c:pt idx="970">
                  <c:v>780.60585379989482</c:v>
                </c:pt>
                <c:pt idx="971">
                  <c:v>780.60585379989482</c:v>
                </c:pt>
                <c:pt idx="972">
                  <c:v>780.60585379989482</c:v>
                </c:pt>
                <c:pt idx="973">
                  <c:v>780.60585379989482</c:v>
                </c:pt>
                <c:pt idx="974">
                  <c:v>780.60585379989482</c:v>
                </c:pt>
                <c:pt idx="975">
                  <c:v>780.60585379989482</c:v>
                </c:pt>
                <c:pt idx="976">
                  <c:v>780.60585379989482</c:v>
                </c:pt>
                <c:pt idx="977">
                  <c:v>780.60585379989482</c:v>
                </c:pt>
                <c:pt idx="978">
                  <c:v>780.60585379989482</c:v>
                </c:pt>
                <c:pt idx="979">
                  <c:v>780.60585379989482</c:v>
                </c:pt>
                <c:pt idx="980">
                  <c:v>780.60585379989482</c:v>
                </c:pt>
                <c:pt idx="981">
                  <c:v>780.60585379989482</c:v>
                </c:pt>
                <c:pt idx="982">
                  <c:v>780.60585379989482</c:v>
                </c:pt>
                <c:pt idx="983">
                  <c:v>780.60585379989482</c:v>
                </c:pt>
                <c:pt idx="984">
                  <c:v>780.60585379989482</c:v>
                </c:pt>
                <c:pt idx="985">
                  <c:v>780.60585379989482</c:v>
                </c:pt>
                <c:pt idx="986">
                  <c:v>780.60585379989482</c:v>
                </c:pt>
                <c:pt idx="987">
                  <c:v>780.60585379989482</c:v>
                </c:pt>
                <c:pt idx="988">
                  <c:v>780.60585379989482</c:v>
                </c:pt>
                <c:pt idx="989">
                  <c:v>780.60585379989482</c:v>
                </c:pt>
                <c:pt idx="990">
                  <c:v>780.60585379989482</c:v>
                </c:pt>
                <c:pt idx="991">
                  <c:v>780.60585379989482</c:v>
                </c:pt>
                <c:pt idx="992">
                  <c:v>780.60585379989482</c:v>
                </c:pt>
                <c:pt idx="993">
                  <c:v>780.60585379989482</c:v>
                </c:pt>
                <c:pt idx="994">
                  <c:v>780.60585379989482</c:v>
                </c:pt>
                <c:pt idx="995">
                  <c:v>780.60585379989482</c:v>
                </c:pt>
                <c:pt idx="996">
                  <c:v>780.60585379989482</c:v>
                </c:pt>
                <c:pt idx="997">
                  <c:v>780.60585379989482</c:v>
                </c:pt>
                <c:pt idx="998">
                  <c:v>780.60585379989482</c:v>
                </c:pt>
                <c:pt idx="999">
                  <c:v>780.60585379989482</c:v>
                </c:pt>
                <c:pt idx="1000">
                  <c:v>780.60585379989482</c:v>
                </c:pt>
              </c:numCache>
            </c:numRef>
          </c:xVal>
          <c:yVal>
            <c:numRef>
              <c:f>Calculs!$AE$4:$AE$1004</c:f>
              <c:numCache>
                <c:formatCode>0</c:formatCode>
                <c:ptCount val="1001"/>
                <c:pt idx="0">
                  <c:v>0</c:v>
                </c:pt>
                <c:pt idx="1">
                  <c:v>8.6628900036048477E-4</c:v>
                </c:pt>
                <c:pt idx="2">
                  <c:v>7.2012236735458125E-3</c:v>
                </c:pt>
                <c:pt idx="3">
                  <c:v>2.5017616524039755E-2</c:v>
                </c:pt>
                <c:pt idx="4">
                  <c:v>5.6354312087586476E-2</c:v>
                </c:pt>
                <c:pt idx="5">
                  <c:v>0.10073493119666843</c:v>
                </c:pt>
                <c:pt idx="6">
                  <c:v>0.15782750892855033</c:v>
                </c:pt>
                <c:pt idx="7">
                  <c:v>0.2275904628140466</c:v>
                </c:pt>
                <c:pt idx="8">
                  <c:v>0.3101276317868239</c:v>
                </c:pt>
                <c:pt idx="9">
                  <c:v>0.40554291741945758</c:v>
                </c:pt>
                <c:pt idx="10">
                  <c:v>0.51394028211170439</c:v>
                </c:pt>
                <c:pt idx="11">
                  <c:v>0.63540864029548572</c:v>
                </c:pt>
                <c:pt idx="12">
                  <c:v>0.77000670842922758</c:v>
                </c:pt>
                <c:pt idx="13">
                  <c:v>0.91777804925889894</c:v>
                </c:pt>
                <c:pt idx="14">
                  <c:v>1.0787661575146401</c:v>
                </c:pt>
                <c:pt idx="15">
                  <c:v>1.2530144585302383</c:v>
                </c:pt>
                <c:pt idx="16">
                  <c:v>1.4405663068577128</c:v>
                </c:pt>
                <c:pt idx="17">
                  <c:v>1.6414649848770997</c:v>
                </c:pt>
                <c:pt idx="18">
                  <c:v>1.8557537014015273</c:v>
                </c:pt>
                <c:pt idx="19">
                  <c:v>2.0834755902776774</c:v>
                </c:pt>
                <c:pt idx="20">
                  <c:v>2.324673708981726</c:v>
                </c:pt>
                <c:pt idx="21">
                  <c:v>2.5793849731424268</c:v>
                </c:pt>
                <c:pt idx="22">
                  <c:v>2.8476340748106428</c:v>
                </c:pt>
                <c:pt idx="23">
                  <c:v>3.1294395216112507</c:v>
                </c:pt>
                <c:pt idx="24">
                  <c:v>3.4248196924281418</c:v>
                </c:pt>
                <c:pt idx="25">
                  <c:v>3.7337928365589774</c:v>
                </c:pt>
                <c:pt idx="26">
                  <c:v>4.0563770728739126</c:v>
                </c:pt>
                <c:pt idx="27">
                  <c:v>4.3925755877908621</c:v>
                </c:pt>
                <c:pt idx="28">
                  <c:v>4.7423908160914694</c:v>
                </c:pt>
                <c:pt idx="29">
                  <c:v>5.1058392494780653</c:v>
                </c:pt>
                <c:pt idx="30">
                  <c:v>5.4829372720818874</c:v>
                </c:pt>
                <c:pt idx="31">
                  <c:v>5.873701168246237</c:v>
                </c:pt>
                <c:pt idx="32">
                  <c:v>6.2781471194657898</c:v>
                </c:pt>
                <c:pt idx="33">
                  <c:v>6.6962912015466713</c:v>
                </c:pt>
                <c:pt idx="34">
                  <c:v>7.1281493819604114</c:v>
                </c:pt>
                <c:pt idx="35">
                  <c:v>7.5737375173689676</c:v>
                </c:pt>
                <c:pt idx="36">
                  <c:v>8.0330713513014143</c:v>
                </c:pt>
                <c:pt idx="37">
                  <c:v>8.5061665119656507</c:v>
                </c:pt>
                <c:pt idx="38">
                  <c:v>8.9930385101808419</c:v>
                </c:pt>
                <c:pt idx="39">
                  <c:v>9.4937027374182215</c:v>
                </c:pt>
                <c:pt idx="40">
                  <c:v>10.00817446393954</c:v>
                </c:pt>
                <c:pt idx="41">
                  <c:v>10.536464117495703</c:v>
                </c:pt>
                <c:pt idx="42">
                  <c:v>11.07857255109665</c:v>
                </c:pt>
                <c:pt idx="43">
                  <c:v>11.634495745555906</c:v>
                </c:pt>
                <c:pt idx="44">
                  <c:v>12.204229523373577</c:v>
                </c:pt>
                <c:pt idx="45">
                  <c:v>12.787769547775413</c:v>
                </c:pt>
                <c:pt idx="46">
                  <c:v>13.385111321818952</c:v>
                </c:pt>
                <c:pt idx="47">
                  <c:v>13.996250187561616</c:v>
                </c:pt>
                <c:pt idx="48">
                  <c:v>14.621181325286233</c:v>
                </c:pt>
                <c:pt idx="49">
                  <c:v>15.259899752779951</c:v>
                </c:pt>
                <c:pt idx="50">
                  <c:v>15.91240032466289</c:v>
                </c:pt>
                <c:pt idx="51">
                  <c:v>16.578677731763335</c:v>
                </c:pt>
                <c:pt idx="52">
                  <c:v>17.258726500536522</c:v>
                </c:pt>
                <c:pt idx="53">
                  <c:v>17.952540992524415</c:v>
                </c:pt>
                <c:pt idx="54">
                  <c:v>18.660115403854107</c:v>
                </c:pt>
                <c:pt idx="55">
                  <c:v>19.381443764772694</c:v>
                </c:pt>
                <c:pt idx="56">
                  <c:v>20.116519939216683</c:v>
                </c:pt>
                <c:pt idx="57">
                  <c:v>20.865337624414206</c:v>
                </c:pt>
                <c:pt idx="58">
                  <c:v>21.627890350518371</c:v>
                </c:pt>
                <c:pt idx="59">
                  <c:v>22.404171480270371</c:v>
                </c:pt>
                <c:pt idx="60">
                  <c:v>23.194174208690953</c:v>
                </c:pt>
                <c:pt idx="61">
                  <c:v>23.997891562799051</c:v>
                </c:pt>
                <c:pt idx="62">
                  <c:v>24.815316401356483</c:v>
                </c:pt>
                <c:pt idx="63">
                  <c:v>25.646441414637643</c:v>
                </c:pt>
                <c:pt idx="64">
                  <c:v>26.491259124223284</c:v>
                </c:pt>
                <c:pt idx="65">
                  <c:v>27.349761882817514</c:v>
                </c:pt>
                <c:pt idx="66">
                  <c:v>28.221941874087179</c:v>
                </c:pt>
                <c:pt idx="67">
                  <c:v>29.107791112522925</c:v>
                </c:pt>
                <c:pt idx="68">
                  <c:v>30.007301443321229</c:v>
                </c:pt>
                <c:pt idx="69">
                  <c:v>30.920464542286776</c:v>
                </c:pt>
                <c:pt idx="70">
                  <c:v>31.847271915754604</c:v>
                </c:pt>
                <c:pt idx="71">
                  <c:v>32.787714900531427</c:v>
                </c:pt>
                <c:pt idx="72">
                  <c:v>33.741784663855668</c:v>
                </c:pt>
                <c:pt idx="73">
                  <c:v>34.709472203375725</c:v>
                </c:pt>
                <c:pt idx="74">
                  <c:v>35.690768347145983</c:v>
                </c:pt>
                <c:pt idx="75">
                  <c:v>36.685663753640199</c:v>
                </c:pt>
                <c:pt idx="76">
                  <c:v>37.694148911781852</c:v>
                </c:pt>
                <c:pt idx="77">
                  <c:v>38.716214140991106</c:v>
                </c:pt>
                <c:pt idx="78">
                  <c:v>39.751849591248018</c:v>
                </c:pt>
                <c:pt idx="79">
                  <c:v>40.8010452431717</c:v>
                </c:pt>
                <c:pt idx="80">
                  <c:v>41.863790908115085</c:v>
                </c:pt>
                <c:pt idx="81">
                  <c:v>42.940071429945675</c:v>
                </c:pt>
                <c:pt idx="82">
                  <c:v>44.029861877728656</c:v>
                </c:pt>
                <c:pt idx="83">
                  <c:v>45.133132333118112</c:v>
                </c:pt>
                <c:pt idx="84">
                  <c:v>46.24985268725333</c:v>
                </c:pt>
                <c:pt idx="85">
                  <c:v>47.379992641684524</c:v>
                </c:pt>
                <c:pt idx="86">
                  <c:v>48.523521709314743</c:v>
                </c:pt>
                <c:pt idx="87">
                  <c:v>49.680409215357621</c:v>
                </c:pt>
                <c:pt idx="88">
                  <c:v>50.850624298310578</c:v>
                </c:pt>
                <c:pt idx="89">
                  <c:v>52.034135910943156</c:v>
                </c:pt>
                <c:pt idx="90">
                  <c:v>53.230912821300144</c:v>
                </c:pt>
                <c:pt idx="91">
                  <c:v>54.440921492624689</c:v>
                </c:pt>
                <c:pt idx="92">
                  <c:v>55.66412395961769</c:v>
                </c:pt>
                <c:pt idx="93">
                  <c:v>56.900479946366985</c:v>
                </c:pt>
                <c:pt idx="94">
                  <c:v>58.14994898815317</c:v>
                </c:pt>
                <c:pt idx="95">
                  <c:v>59.41249043289254</c:v>
                </c:pt>
                <c:pt idx="96">
                  <c:v>60.688063442592998</c:v>
                </c:pt>
                <c:pt idx="97">
                  <c:v>61.976626994822567</c:v>
                </c:pt>
                <c:pt idx="98">
                  <c:v>63.27813988419021</c:v>
                </c:pt>
                <c:pt idx="99">
                  <c:v>64.592560723838545</c:v>
                </c:pt>
                <c:pt idx="100">
                  <c:v>65.919847946948224</c:v>
                </c:pt>
                <c:pt idx="101">
                  <c:v>67.259959468813378</c:v>
                </c:pt>
                <c:pt idx="102">
                  <c:v>68.612852348400565</c:v>
                </c:pt>
                <c:pt idx="103">
                  <c:v>69.978483128767778</c:v>
                </c:pt>
                <c:pt idx="104">
                  <c:v>71.35680817805185</c:v>
                </c:pt>
                <c:pt idx="105">
                  <c:v>72.747783691087108</c:v>
                </c:pt>
                <c:pt idx="106">
                  <c:v>74.151365691033703</c:v>
                </c:pt>
                <c:pt idx="107">
                  <c:v>75.567510031015274</c:v>
                </c:pt>
                <c:pt idx="108">
                  <c:v>76.996172395765669</c:v>
                </c:pt>
                <c:pt idx="109">
                  <c:v>78.437308303284482</c:v>
                </c:pt>
                <c:pt idx="110">
                  <c:v>79.890873106500976</c:v>
                </c:pt>
                <c:pt idx="111">
                  <c:v>81.356825905123841</c:v>
                </c:pt>
                <c:pt idx="112">
                  <c:v>82.835133462881416</c:v>
                </c:pt>
                <c:pt idx="113">
                  <c:v>84.325766304174451</c:v>
                </c:pt>
                <c:pt idx="114">
                  <c:v>85.828694805022124</c:v>
                </c:pt>
                <c:pt idx="115">
                  <c:v>87.343889194101806</c:v>
                </c:pt>
                <c:pt idx="116">
                  <c:v>88.871319553796894</c:v>
                </c:pt>
                <c:pt idx="117">
                  <c:v>90.410955821252557</c:v>
                </c:pt>
                <c:pt idx="118">
                  <c:v>91.962767789439269</c:v>
                </c:pt>
                <c:pt idx="119">
                  <c:v>93.526725108223843</c:v>
                </c:pt>
                <c:pt idx="120">
                  <c:v>95.102797285447949</c:v>
                </c:pt>
                <c:pt idx="121">
                  <c:v>96.690947199186212</c:v>
                </c:pt>
                <c:pt idx="122">
                  <c:v>98.291124602065452</c:v>
                </c:pt>
                <c:pt idx="123">
                  <c:v>99.903272604579229</c:v>
                </c:pt>
                <c:pt idx="124">
                  <c:v>101.52733416692158</c:v>
                </c:pt>
                <c:pt idx="125">
                  <c:v>103.16325210123135</c:v>
                </c:pt>
                <c:pt idx="126">
                  <c:v>104.81096907383936</c:v>
                </c:pt>
                <c:pt idx="127">
                  <c:v>106.47042760751795</c:v>
                </c:pt>
                <c:pt idx="128">
                  <c:v>108.14157008373277</c:v>
                </c:pt>
                <c:pt idx="129">
                  <c:v>109.82433874489629</c:v>
                </c:pt>
                <c:pt idx="130">
                  <c:v>111.51867569662285</c:v>
                </c:pt>
                <c:pt idx="131">
                  <c:v>113.22452121032657</c:v>
                </c:pt>
                <c:pt idx="132">
                  <c:v>114.9418120240928</c:v>
                </c:pt>
                <c:pt idx="133">
                  <c:v>116.67048304351177</c:v>
                </c:pt>
                <c:pt idx="134">
                  <c:v>118.41046904440124</c:v>
                </c:pt>
                <c:pt idx="135">
                  <c:v>120.16170467538571</c:v>
                </c:pt>
                <c:pt idx="136">
                  <c:v>121.92412446047344</c:v>
                </c:pt>
                <c:pt idx="137">
                  <c:v>123.69766280163101</c:v>
                </c:pt>
                <c:pt idx="138">
                  <c:v>125.48225398135497</c:v>
                </c:pt>
                <c:pt idx="139">
                  <c:v>127.27783216524035</c:v>
                </c:pt>
                <c:pt idx="140">
                  <c:v>129.08433140454554</c:v>
                </c:pt>
                <c:pt idx="141">
                  <c:v>130.90166530641716</c:v>
                </c:pt>
                <c:pt idx="142">
                  <c:v>132.72970668816069</c:v>
                </c:pt>
                <c:pt idx="143">
                  <c:v>134.56830790785585</c:v>
                </c:pt>
                <c:pt idx="144">
                  <c:v>136.41732121331219</c:v>
                </c:pt>
                <c:pt idx="145">
                  <c:v>138.2765987493795</c:v>
                </c:pt>
                <c:pt idx="146">
                  <c:v>140.1459925652083</c:v>
                </c:pt>
                <c:pt idx="147">
                  <c:v>142.02535462145951</c:v>
                </c:pt>
                <c:pt idx="148">
                  <c:v>143.91453679746186</c:v>
                </c:pt>
                <c:pt idx="149">
                  <c:v>145.81339089831641</c:v>
                </c:pt>
                <c:pt idx="150">
                  <c:v>147.72176866194664</c:v>
                </c:pt>
                <c:pt idx="151">
                  <c:v>149.63952176609362</c:v>
                </c:pt>
                <c:pt idx="152">
                  <c:v>151.56650183525502</c:v>
                </c:pt>
                <c:pt idx="153">
                  <c:v>153.50256044756694</c:v>
                </c:pt>
                <c:pt idx="154">
                  <c:v>155.4475491416278</c:v>
                </c:pt>
                <c:pt idx="155">
                  <c:v>157.40131942326346</c:v>
                </c:pt>
                <c:pt idx="156">
                  <c:v>159.36362642138494</c:v>
                </c:pt>
                <c:pt idx="157">
                  <c:v>161.33403253120548</c:v>
                </c:pt>
                <c:pt idx="158">
                  <c:v>163.31200386248253</c:v>
                </c:pt>
                <c:pt idx="159">
                  <c:v>165.29700672361676</c:v>
                </c:pt>
                <c:pt idx="160">
                  <c:v>167.28850767439644</c:v>
                </c:pt>
                <c:pt idx="161">
                  <c:v>169.28585106733385</c:v>
                </c:pt>
                <c:pt idx="162">
                  <c:v>171.28813666470111</c:v>
                </c:pt>
                <c:pt idx="163">
                  <c:v>173.29435415616197</c:v>
                </c:pt>
                <c:pt idx="164">
                  <c:v>175.30351764451225</c:v>
                </c:pt>
                <c:pt idx="165">
                  <c:v>177.31477112600189</c:v>
                </c:pt>
                <c:pt idx="166">
                  <c:v>179.32749380789372</c:v>
                </c:pt>
                <c:pt idx="167">
                  <c:v>181.34109384496603</c:v>
                </c:pt>
                <c:pt idx="168">
                  <c:v>183.35486670270612</c:v>
                </c:pt>
                <c:pt idx="169">
                  <c:v>185.36790062680041</c:v>
                </c:pt>
                <c:pt idx="170">
                  <c:v>187.37904673864361</c:v>
                </c:pt>
                <c:pt idx="171">
                  <c:v>189.38750130893436</c:v>
                </c:pt>
                <c:pt idx="172">
                  <c:v>191.39306496401636</c:v>
                </c:pt>
                <c:pt idx="173">
                  <c:v>193.39574354352331</c:v>
                </c:pt>
                <c:pt idx="174">
                  <c:v>195.39554286541716</c:v>
                </c:pt>
                <c:pt idx="175">
                  <c:v>197.39246872609442</c:v>
                </c:pt>
                <c:pt idx="176">
                  <c:v>199.38652690049204</c:v>
                </c:pt>
                <c:pt idx="177">
                  <c:v>201.37772314219248</c:v>
                </c:pt>
                <c:pt idx="178">
                  <c:v>203.36606318352813</c:v>
                </c:pt>
                <c:pt idx="179">
                  <c:v>205.35155273568523</c:v>
                </c:pt>
                <c:pt idx="180">
                  <c:v>207.33419748880698</c:v>
                </c:pt>
                <c:pt idx="181">
                  <c:v>209.31400311209615</c:v>
                </c:pt>
                <c:pt idx="182">
                  <c:v>211.29097525391691</c:v>
                </c:pt>
                <c:pt idx="183">
                  <c:v>213.26511954189621</c:v>
                </c:pt>
                <c:pt idx="184">
                  <c:v>215.23644158302437</c:v>
                </c:pt>
                <c:pt idx="185">
                  <c:v>217.20494696375516</c:v>
                </c:pt>
                <c:pt idx="186">
                  <c:v>219.17064125010526</c:v>
                </c:pt>
                <c:pt idx="187">
                  <c:v>221.13352998775306</c:v>
                </c:pt>
                <c:pt idx="188">
                  <c:v>223.09361870213689</c:v>
                </c:pt>
                <c:pt idx="189">
                  <c:v>225.05091289855264</c:v>
                </c:pt>
                <c:pt idx="190">
                  <c:v>227.00541806225078</c:v>
                </c:pt>
                <c:pt idx="191">
                  <c:v>228.95713965853284</c:v>
                </c:pt>
                <c:pt idx="192">
                  <c:v>230.90608313284724</c:v>
                </c:pt>
                <c:pt idx="193">
                  <c:v>232.85225391088454</c:v>
                </c:pt>
                <c:pt idx="194">
                  <c:v>234.79565739867218</c:v>
                </c:pt>
                <c:pt idx="195">
                  <c:v>236.73629898266853</c:v>
                </c:pt>
                <c:pt idx="196">
                  <c:v>238.67418402985655</c:v>
                </c:pt>
                <c:pt idx="197">
                  <c:v>240.60931788783665</c:v>
                </c:pt>
                <c:pt idx="198">
                  <c:v>242.54170588491922</c:v>
                </c:pt>
                <c:pt idx="199">
                  <c:v>244.47135333021643</c:v>
                </c:pt>
                <c:pt idx="200">
                  <c:v>246.39826551373358</c:v>
                </c:pt>
                <c:pt idx="201">
                  <c:v>265.51735623924014</c:v>
                </c:pt>
                <c:pt idx="202">
                  <c:v>284.36631129770609</c:v>
                </c:pt>
                <c:pt idx="203">
                  <c:v>302.95023953467677</c:v>
                </c:pt>
                <c:pt idx="204">
                  <c:v>321.27407037934501</c:v>
                </c:pt>
                <c:pt idx="205">
                  <c:v>339.34256207921163</c:v>
                </c:pt>
                <c:pt idx="206">
                  <c:v>357.16030946097283</c:v>
                </c:pt>
                <c:pt idx="207">
                  <c:v>374.73175125012062</c:v>
                </c:pt>
                <c:pt idx="208">
                  <c:v>392.06117697916005</c:v>
                </c:pt>
                <c:pt idx="209">
                  <c:v>409.15273351199926</c:v>
                </c:pt>
                <c:pt idx="210">
                  <c:v>426.01043120992881</c:v>
                </c:pt>
                <c:pt idx="211">
                  <c:v>442.63814976265553</c:v>
                </c:pt>
                <c:pt idx="212">
                  <c:v>459.03964370607497</c:v>
                </c:pt>
                <c:pt idx="213">
                  <c:v>475.21854764683849</c:v>
                </c:pt>
                <c:pt idx="214">
                  <c:v>491.17838121228226</c:v>
                </c:pt>
                <c:pt idx="215">
                  <c:v>506.92255374292114</c:v>
                </c:pt>
                <c:pt idx="216">
                  <c:v>522.45436874346012</c:v>
                </c:pt>
                <c:pt idx="217">
                  <c:v>537.77702810712992</c:v>
                </c:pt>
                <c:pt idx="218">
                  <c:v>552.89363612709826</c:v>
                </c:pt>
                <c:pt idx="219">
                  <c:v>567.80720330774102</c:v>
                </c:pt>
                <c:pt idx="220">
                  <c:v>582.52064998766696</c:v>
                </c:pt>
                <c:pt idx="221">
                  <c:v>597.03680978556679</c:v>
                </c:pt>
                <c:pt idx="222">
                  <c:v>611.3584328792042</c:v>
                </c:pt>
                <c:pt idx="223">
                  <c:v>625.48818912716638</c:v>
                </c:pt>
                <c:pt idx="224">
                  <c:v>639.42867104234813</c:v>
                </c:pt>
                <c:pt idx="225">
                  <c:v>653.18239662554959</c:v>
                </c:pt>
                <c:pt idx="226">
                  <c:v>666.75181206701609</c:v>
                </c:pt>
                <c:pt idx="227">
                  <c:v>680.1392943232388</c:v>
                </c:pt>
                <c:pt idx="228">
                  <c:v>693.34715357586549</c:v>
                </c:pt>
                <c:pt idx="229">
                  <c:v>706.37763557913161</c:v>
                </c:pt>
                <c:pt idx="230">
                  <c:v>719.23292390181655</c:v>
                </c:pt>
                <c:pt idx="231">
                  <c:v>731.91514206935449</c:v>
                </c:pt>
                <c:pt idx="232">
                  <c:v>744.42635561137945</c:v>
                </c:pt>
                <c:pt idx="233">
                  <c:v>756.76857401965856</c:v>
                </c:pt>
                <c:pt idx="234">
                  <c:v>768.94375262106632</c:v>
                </c:pt>
                <c:pt idx="235">
                  <c:v>780.95379436997064</c:v>
                </c:pt>
                <c:pt idx="236">
                  <c:v>792.80055156414016</c:v>
                </c:pt>
                <c:pt idx="237">
                  <c:v>804.48582748803756</c:v>
                </c:pt>
                <c:pt idx="238">
                  <c:v>816.01137798713648</c:v>
                </c:pt>
                <c:pt idx="239">
                  <c:v>827.37891297668716</c:v>
                </c:pt>
                <c:pt idx="240">
                  <c:v>838.59009788815729</c:v>
                </c:pt>
                <c:pt idx="241">
                  <c:v>849.64655505638984</c:v>
                </c:pt>
                <c:pt idx="242">
                  <c:v>860.54986505034594</c:v>
                </c:pt>
                <c:pt idx="243">
                  <c:v>871.30156795013932</c:v>
                </c:pt>
                <c:pt idx="244">
                  <c:v>881.90316457291681</c:v>
                </c:pt>
                <c:pt idx="245">
                  <c:v>892.35611764999828</c:v>
                </c:pt>
                <c:pt idx="246">
                  <c:v>902.66185295755554</c:v>
                </c:pt>
                <c:pt idx="247">
                  <c:v>912.82176040298509</c:v>
                </c:pt>
                <c:pt idx="248">
                  <c:v>922.83719506901411</c:v>
                </c:pt>
                <c:pt idx="249">
                  <c:v>932.70947821746779</c:v>
                </c:pt>
                <c:pt idx="250">
                  <c:v>942.43989825452365</c:v>
                </c:pt>
                <c:pt idx="251">
                  <c:v>952.02971165918234</c:v>
                </c:pt>
                <c:pt idx="252">
                  <c:v>961.48014387659305</c:v>
                </c:pt>
                <c:pt idx="253">
                  <c:v>970.79239017778627</c:v>
                </c:pt>
                <c:pt idx="254">
                  <c:v>979.96761648728636</c:v>
                </c:pt>
                <c:pt idx="255">
                  <c:v>989.00696018000099</c:v>
                </c:pt>
                <c:pt idx="256">
                  <c:v>997.91153084871257</c:v>
                </c:pt>
                <c:pt idx="257">
                  <c:v>1006.6824110434319</c:v>
                </c:pt>
                <c:pt idx="258">
                  <c:v>1015.3206569838072</c:v>
                </c:pt>
                <c:pt idx="259">
                  <c:v>1023.8272992457272</c:v>
                </c:pt>
                <c:pt idx="260">
                  <c:v>1032.2033434231957</c:v>
                </c:pt>
                <c:pt idx="261">
                  <c:v>1040.4497707665073</c:v>
                </c:pt>
                <c:pt idx="262">
                  <c:v>1048.5675387976985</c:v>
                </c:pt>
                <c:pt idx="263">
                  <c:v>1056.5575819042072</c:v>
                </c:pt>
                <c:pt idx="264">
                  <c:v>1064.4208119116236</c:v>
                </c:pt>
                <c:pt idx="265">
                  <c:v>1072.1581186363771</c:v>
                </c:pt>
                <c:pt idx="266">
                  <c:v>1079.770370419164</c:v>
                </c:pt>
                <c:pt idx="267">
                  <c:v>1087.2584146398801</c:v>
                </c:pt>
                <c:pt idx="268">
                  <c:v>1094.6230782147918</c:v>
                </c:pt>
                <c:pt idx="269">
                  <c:v>1101.8651680766411</c:v>
                </c:pt>
                <c:pt idx="270">
                  <c:v>1108.9854716383527</c:v>
                </c:pt>
                <c:pt idx="271">
                  <c:v>1115.9847572409769</c:v>
                </c:pt>
                <c:pt idx="272">
                  <c:v>1122.8637745864796</c:v>
                </c:pt>
                <c:pt idx="273">
                  <c:v>1129.6232551559563</c:v>
                </c:pt>
                <c:pt idx="274">
                  <c:v>1136.2639126138315</c:v>
                </c:pt>
                <c:pt idx="275">
                  <c:v>1142.7864431985724</c:v>
                </c:pt>
                <c:pt idx="276">
                  <c:v>1149.1915261004287</c:v>
                </c:pt>
                <c:pt idx="277">
                  <c:v>1155.4798238266876</c:v>
                </c:pt>
                <c:pt idx="278">
                  <c:v>1161.6519825549137</c:v>
                </c:pt>
                <c:pt idx="279">
                  <c:v>1167.7086324746242</c:v>
                </c:pt>
                <c:pt idx="280">
                  <c:v>1173.6503881178335</c:v>
                </c:pt>
                <c:pt idx="281">
                  <c:v>1179.4778486788839</c:v>
                </c:pt>
                <c:pt idx="282">
                  <c:v>1185.1915983239655</c:v>
                </c:pt>
                <c:pt idx="283">
                  <c:v>1190.7922064907116</c:v>
                </c:pt>
                <c:pt idx="284">
                  <c:v>1196.2802281782454</c:v>
                </c:pt>
                <c:pt idx="285">
                  <c:v>1201.6562042280416</c:v>
                </c:pt>
                <c:pt idx="286">
                  <c:v>1206.9206615959536</c:v>
                </c:pt>
                <c:pt idx="287">
                  <c:v>1212.074113615749</c:v>
                </c:pt>
                <c:pt idx="288">
                  <c:v>1217.1170602544862</c:v>
                </c:pt>
                <c:pt idx="289">
                  <c:v>1222.049988360058</c:v>
                </c:pt>
                <c:pt idx="290">
                  <c:v>1226.8733719012212</c:v>
                </c:pt>
                <c:pt idx="291">
                  <c:v>1231.5876722004245</c:v>
                </c:pt>
                <c:pt idx="292">
                  <c:v>1236.1933381597455</c:v>
                </c:pt>
                <c:pt idx="293">
                  <c:v>1240.6908064802408</c:v>
                </c:pt>
                <c:pt idx="294">
                  <c:v>1245.0805018750166</c:v>
                </c:pt>
                <c:pt idx="295">
                  <c:v>1249.3628372763205</c:v>
                </c:pt>
                <c:pt idx="296">
                  <c:v>1253.5382140369641</c:v>
                </c:pt>
                <c:pt idx="297">
                  <c:v>1257.6070221263801</c:v>
                </c:pt>
                <c:pt idx="298">
                  <c:v>1261.5696403216336</c:v>
                </c:pt>
                <c:pt idx="299">
                  <c:v>1265.4264363937018</c:v>
                </c:pt>
                <c:pt idx="300">
                  <c:v>1269.177767289355</c:v>
                </c:pt>
                <c:pt idx="301">
                  <c:v>1272.8239793089767</c:v>
                </c:pt>
                <c:pt idx="302">
                  <c:v>1276.3654082806811</c:v>
                </c:pt>
                <c:pt idx="303">
                  <c:v>1279.8023797310921</c:v>
                </c:pt>
                <c:pt idx="304">
                  <c:v>1283.1352090531809</c:v>
                </c:pt>
                <c:pt idx="305">
                  <c:v>1286.364201671573</c:v>
                </c:pt>
                <c:pt idx="306">
                  <c:v>1289.4896532057635</c:v>
                </c:pt>
                <c:pt idx="307">
                  <c:v>1292.5118496317145</c:v>
                </c:pt>
                <c:pt idx="308">
                  <c:v>1295.43106744234</c:v>
                </c:pt>
                <c:pt idx="309">
                  <c:v>1298.247573807424</c:v>
                </c:pt>
                <c:pt idx="310">
                  <c:v>1300.961626733563</c:v>
                </c:pt>
                <c:pt idx="311">
                  <c:v>1303.5734752247736</c:v>
                </c:pt>
                <c:pt idx="312">
                  <c:v>1306.0833594444616</c:v>
                </c:pt>
                <c:pt idx="313">
                  <c:v>1308.491510879508</c:v>
                </c:pt>
                <c:pt idx="314">
                  <c:v>1310.7981525072958</c:v>
                </c:pt>
                <c:pt idx="315">
                  <c:v>1313.0034989665689</c:v>
                </c:pt>
                <c:pt idx="316">
                  <c:v>1315.107756733094</c:v>
                </c:pt>
                <c:pt idx="317">
                  <c:v>1317.1111243011665</c:v>
                </c:pt>
                <c:pt idx="318">
                  <c:v>1319.0137923720883</c:v>
                </c:pt>
                <c:pt idx="319">
                  <c:v>1320.81594405082</c:v>
                </c:pt>
                <c:pt idx="320">
                  <c:v>1322.51775505208</c:v>
                </c:pt>
                <c:pt idx="321">
                  <c:v>1324.1193939172363</c:v>
                </c:pt>
                <c:pt idx="322">
                  <c:v>1325.621022243381</c:v>
                </c:pt>
                <c:pt idx="323">
                  <c:v>1327.0227949260161</c:v>
                </c:pt>
                <c:pt idx="324">
                  <c:v>1328.3248604167791</c:v>
                </c:pt>
                <c:pt idx="325">
                  <c:v>1329.5273609976141</c:v>
                </c:pt>
                <c:pt idx="326">
                  <c:v>1330.6304330727162</c:v>
                </c:pt>
                <c:pt idx="327">
                  <c:v>1331.6342074794536</c:v>
                </c:pt>
                <c:pt idx="328">
                  <c:v>1332.5388098192857</c:v>
                </c:pt>
                <c:pt idx="329">
                  <c:v>1333.3443608094392</c:v>
                </c:pt>
                <c:pt idx="330">
                  <c:v>1334.0509766557805</c:v>
                </c:pt>
                <c:pt idx="331">
                  <c:v>1334.6587694469183</c:v>
                </c:pt>
                <c:pt idx="332">
                  <c:v>1335.1678475691085</c:v>
                </c:pt>
                <c:pt idx="333">
                  <c:v>1335.5783161410031</c:v>
                </c:pt>
                <c:pt idx="334">
                  <c:v>1335.8902774667242</c:v>
                </c:pt>
                <c:pt idx="335">
                  <c:v>1336.1038315051574</c:v>
                </c:pt>
                <c:pt idx="336">
                  <c:v>1336.2190763527988</c:v>
                </c:pt>
                <c:pt idx="337">
                  <c:v>1336.2361087369588</c:v>
                </c:pt>
                <c:pt idx="338">
                  <c:v>1336.1550245156895</c:v>
                </c:pt>
                <c:pt idx="339">
                  <c:v>1335.9759191804633</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110.6193680574203</c:v>
                </c:pt>
              </c:numCache>
            </c:numRef>
          </c:xVal>
          <c:yVal>
            <c:numRef>
              <c:f>Trajecto!$C$158</c:f>
              <c:numCache>
                <c:formatCode>0</c:formatCode>
                <c:ptCount val="1"/>
                <c:pt idx="0">
                  <c:v>667.84944417871782</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664.76476255231648</c:v>
                </c:pt>
              </c:numCache>
            </c:numRef>
          </c:xVal>
          <c:yVal>
            <c:numRef>
              <c:f>Trajecto!$C$159</c:f>
              <c:numCache>
                <c:formatCode>0</c:formatCode>
                <c:ptCount val="1"/>
                <c:pt idx="0">
                  <c:v>668.10953817639938</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{93B54882-D32F-45E7-956A-6103DF819D73}</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433.0825800571597</c:v>
                </c:pt>
                <c:pt idx="1">
                  <c:v>456.0825800571597</c:v>
                </c:pt>
                <c:pt idx="2">
                  <c:v>456.0825800571597</c:v>
                </c:pt>
                <c:pt idx="3">
                  <c:v>433.0825800571597</c:v>
                </c:pt>
                <c:pt idx="4">
                  <c:v>456.0825800571597</c:v>
                </c:pt>
                <c:pt idx="5">
                  <c:v>456.0825800571597</c:v>
                </c:pt>
                <c:pt idx="6">
                  <c:v>441.0825800571597</c:v>
                </c:pt>
                <c:pt idx="7">
                  <c:v>441.0825800571597</c:v>
                </c:pt>
                <c:pt idx="8">
                  <c:v>456.0825800571597</c:v>
                </c:pt>
                <c:pt idx="9">
                  <c:v>441.0825800571597</c:v>
                </c:pt>
                <c:pt idx="10">
                  <c:v>440.68258005715973</c:v>
                </c:pt>
                <c:pt idx="11">
                  <c:v>439.88258005715971</c:v>
                </c:pt>
                <c:pt idx="12">
                  <c:v>439.0825800571597</c:v>
                </c:pt>
                <c:pt idx="13">
                  <c:v>438.0825800571597</c:v>
                </c:pt>
                <c:pt idx="14">
                  <c:v>436.88258005715971</c:v>
                </c:pt>
                <c:pt idx="15">
                  <c:v>433.0825800571597</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433.0825800571597</c:v>
                </c:pt>
                <c:pt idx="1">
                  <c:v>410.0825800571597</c:v>
                </c:pt>
                <c:pt idx="2">
                  <c:v>410.0825800571597</c:v>
                </c:pt>
                <c:pt idx="3">
                  <c:v>433.0825800571597</c:v>
                </c:pt>
                <c:pt idx="4">
                  <c:v>410.0825800571597</c:v>
                </c:pt>
                <c:pt idx="5">
                  <c:v>410.0825800571597</c:v>
                </c:pt>
                <c:pt idx="6">
                  <c:v>425.0825800571597</c:v>
                </c:pt>
                <c:pt idx="7">
                  <c:v>425.0825800571597</c:v>
                </c:pt>
                <c:pt idx="8">
                  <c:v>410.0825800571597</c:v>
                </c:pt>
                <c:pt idx="9">
                  <c:v>425.0825800571597</c:v>
                </c:pt>
                <c:pt idx="10">
                  <c:v>425.48258005715968</c:v>
                </c:pt>
                <c:pt idx="11">
                  <c:v>426.28258005715969</c:v>
                </c:pt>
                <c:pt idx="12">
                  <c:v>427.0825800571597</c:v>
                </c:pt>
                <c:pt idx="13">
                  <c:v>428.0825800571597</c:v>
                </c:pt>
                <c:pt idx="14">
                  <c:v>429.28258005715969</c:v>
                </c:pt>
                <c:pt idx="15">
                  <c:v>433.0825800571597</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{664B787F-3343-43C2-B99C-BAFE91F5C6E2}</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433.0825800571597</c:v>
                </c:pt>
                <c:pt idx="1">
                  <c:v>433.0825800571597</c:v>
                </c:pt>
                <c:pt idx="2">
                  <c:v>443.0825800571597</c:v>
                </c:pt>
                <c:pt idx="3">
                  <c:v>433.0825800571597</c:v>
                </c:pt>
                <c:pt idx="4">
                  <c:v>443.0825800571597</c:v>
                </c:pt>
                <c:pt idx="5">
                  <c:v>446.0825800571597</c:v>
                </c:pt>
                <c:pt idx="6">
                  <c:v>450.0825800571597</c:v>
                </c:pt>
                <c:pt idx="7">
                  <c:v>453.0825800571597</c:v>
                </c:pt>
                <c:pt idx="8">
                  <c:v>458.0825800571597</c:v>
                </c:pt>
                <c:pt idx="9">
                  <c:v>463.0825800571597</c:v>
                </c:pt>
                <c:pt idx="10">
                  <c:v>469.0825800571597</c:v>
                </c:pt>
                <c:pt idx="11">
                  <c:v>481.0825800571597</c:v>
                </c:pt>
                <c:pt idx="12">
                  <c:v>495.0825800571597</c:v>
                </c:pt>
                <c:pt idx="13">
                  <c:v>470.0825800571597</c:v>
                </c:pt>
                <c:pt idx="14">
                  <c:v>463.0825800571597</c:v>
                </c:pt>
                <c:pt idx="15">
                  <c:v>448.0825800571597</c:v>
                </c:pt>
                <c:pt idx="16">
                  <c:v>433.0825800571597</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433.0825800571597</c:v>
                </c:pt>
                <c:pt idx="1">
                  <c:v>433.0825800571597</c:v>
                </c:pt>
                <c:pt idx="2">
                  <c:v>423.0825800571597</c:v>
                </c:pt>
                <c:pt idx="3">
                  <c:v>433.0825800571597</c:v>
                </c:pt>
                <c:pt idx="4">
                  <c:v>423.0825800571597</c:v>
                </c:pt>
                <c:pt idx="5">
                  <c:v>420.0825800571597</c:v>
                </c:pt>
                <c:pt idx="6">
                  <c:v>416.0825800571597</c:v>
                </c:pt>
                <c:pt idx="7">
                  <c:v>413.0825800571597</c:v>
                </c:pt>
                <c:pt idx="8">
                  <c:v>408.0825800571597</c:v>
                </c:pt>
                <c:pt idx="9">
                  <c:v>403.0825800571597</c:v>
                </c:pt>
                <c:pt idx="10">
                  <c:v>397.0825800571597</c:v>
                </c:pt>
                <c:pt idx="11">
                  <c:v>385.0825800571597</c:v>
                </c:pt>
                <c:pt idx="12">
                  <c:v>371.0825800571597</c:v>
                </c:pt>
                <c:pt idx="13">
                  <c:v>396.0825800571597</c:v>
                </c:pt>
                <c:pt idx="14">
                  <c:v>403.0825800571597</c:v>
                </c:pt>
                <c:pt idx="15">
                  <c:v>418.0825800571597</c:v>
                </c:pt>
                <c:pt idx="16">
                  <c:v>433.0825800571597</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433.0825800571597</c:v>
                </c:pt>
                <c:pt idx="1">
                  <c:v>450.0825800571597</c:v>
                </c:pt>
                <c:pt idx="2">
                  <c:v>444.0825800571597</c:v>
                </c:pt>
                <c:pt idx="3">
                  <c:v>433.0825800571597</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433.0825800571597</c:v>
                </c:pt>
                <c:pt idx="1">
                  <c:v>416.0825800571597</c:v>
                </c:pt>
                <c:pt idx="2">
                  <c:v>422.0825800571597</c:v>
                </c:pt>
                <c:pt idx="3">
                  <c:v>433.0825800571597</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{ADB9961E-DC25-40CB-8EC0-486AFF4E290B}</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442.47747222968121</c:v>
                </c:pt>
                <c:pt idx="1">
                  <c:v>442.47747222968121</c:v>
                </c:pt>
                <c:pt idx="2">
                  <c:v>442.47747222968121</c:v>
                </c:pt>
                <c:pt idx="3">
                  <c:v>475.8699444386171</c:v>
                </c:pt>
                <c:pt idx="4">
                  <c:v>442.47747222968121</c:v>
                </c:pt>
                <c:pt idx="5">
                  <c:v>409.08500002074533</c:v>
                </c:pt>
                <c:pt idx="6">
                  <c:v>442.47747222968121</c:v>
                </c:pt>
              </c:numCache>
            </c:numRef>
          </c:xVal>
          <c:yVal>
            <c:numRef>
              <c:f>Trajecto!$C$124:$C$130</c:f>
              <c:numCache>
                <c:formatCode>0</c:formatCode>
                <c:ptCount val="7"/>
                <c:pt idx="0">
                  <c:v>1335.6988883574356</c:v>
                </c:pt>
                <c:pt idx="1">
                  <c:v>667.84944417871782</c:v>
                </c:pt>
                <c:pt idx="2">
                  <c:v>0</c:v>
                </c:pt>
                <c:pt idx="3">
                  <c:v>66.784944417871785</c:v>
                </c:pt>
                <c:pt idx="4">
                  <c:v>0</c:v>
                </c:pt>
                <c:pt idx="5">
                  <c:v>66.784944417871785</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1336.2190763527988</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8.6628900036048477E-4</c:v>
                </c:pt>
                <c:pt idx="2">
                  <c:v>7.2012236735458125E-3</c:v>
                </c:pt>
                <c:pt idx="3">
                  <c:v>2.5017616524039755E-2</c:v>
                </c:pt>
                <c:pt idx="4">
                  <c:v>5.6354312087586476E-2</c:v>
                </c:pt>
                <c:pt idx="5">
                  <c:v>0.10073493119666843</c:v>
                </c:pt>
                <c:pt idx="6">
                  <c:v>0.15782750892855033</c:v>
                </c:pt>
                <c:pt idx="7">
                  <c:v>0.2275904628140466</c:v>
                </c:pt>
                <c:pt idx="8">
                  <c:v>0.3101276317868239</c:v>
                </c:pt>
                <c:pt idx="9">
                  <c:v>0.40554291741945758</c:v>
                </c:pt>
                <c:pt idx="10">
                  <c:v>0.51394028211170439</c:v>
                </c:pt>
                <c:pt idx="11">
                  <c:v>0.63540864029548572</c:v>
                </c:pt>
                <c:pt idx="12">
                  <c:v>0.77000670842922758</c:v>
                </c:pt>
                <c:pt idx="13">
                  <c:v>0.91777804925889894</c:v>
                </c:pt>
                <c:pt idx="14">
                  <c:v>1.0787661575146401</c:v>
                </c:pt>
                <c:pt idx="15">
                  <c:v>1.2530144585302383</c:v>
                </c:pt>
                <c:pt idx="16">
                  <c:v>1.4405663068577128</c:v>
                </c:pt>
                <c:pt idx="17">
                  <c:v>1.6414649848770997</c:v>
                </c:pt>
                <c:pt idx="18">
                  <c:v>1.8557537014015273</c:v>
                </c:pt>
                <c:pt idx="19">
                  <c:v>2.0834755902776774</c:v>
                </c:pt>
                <c:pt idx="20">
                  <c:v>2.324673708981726</c:v>
                </c:pt>
                <c:pt idx="21">
                  <c:v>2.5793849731424268</c:v>
                </c:pt>
                <c:pt idx="22">
                  <c:v>2.8476340748106428</c:v>
                </c:pt>
                <c:pt idx="23">
                  <c:v>3.1294395216112507</c:v>
                </c:pt>
                <c:pt idx="24">
                  <c:v>3.4248196924281418</c:v>
                </c:pt>
                <c:pt idx="25">
                  <c:v>3.7337928365589774</c:v>
                </c:pt>
                <c:pt idx="26">
                  <c:v>4.0563770728739126</c:v>
                </c:pt>
                <c:pt idx="27">
                  <c:v>4.3925755877908621</c:v>
                </c:pt>
                <c:pt idx="28">
                  <c:v>4.7423908160914694</c:v>
                </c:pt>
                <c:pt idx="29">
                  <c:v>5.1058392494780653</c:v>
                </c:pt>
                <c:pt idx="30">
                  <c:v>5.4829372720818874</c:v>
                </c:pt>
                <c:pt idx="31">
                  <c:v>5.873701168246237</c:v>
                </c:pt>
                <c:pt idx="32">
                  <c:v>6.2781471194657898</c:v>
                </c:pt>
                <c:pt idx="33">
                  <c:v>6.6962912015466713</c:v>
                </c:pt>
                <c:pt idx="34">
                  <c:v>7.1281493819604114</c:v>
                </c:pt>
                <c:pt idx="35">
                  <c:v>7.5737375173689676</c:v>
                </c:pt>
                <c:pt idx="36">
                  <c:v>8.0330713513014143</c:v>
                </c:pt>
                <c:pt idx="37">
                  <c:v>8.5061665119656507</c:v>
                </c:pt>
                <c:pt idx="38">
                  <c:v>8.9930385101808419</c:v>
                </c:pt>
                <c:pt idx="39">
                  <c:v>9.4937027374182215</c:v>
                </c:pt>
                <c:pt idx="40">
                  <c:v>10.00817446393954</c:v>
                </c:pt>
                <c:pt idx="41">
                  <c:v>10.536464117495703</c:v>
                </c:pt>
                <c:pt idx="42">
                  <c:v>11.07857255109665</c:v>
                </c:pt>
                <c:pt idx="43">
                  <c:v>11.634495745555906</c:v>
                </c:pt>
                <c:pt idx="44">
                  <c:v>12.204229523373577</c:v>
                </c:pt>
                <c:pt idx="45">
                  <c:v>12.787769547775413</c:v>
                </c:pt>
                <c:pt idx="46">
                  <c:v>13.385111321818952</c:v>
                </c:pt>
                <c:pt idx="47">
                  <c:v>13.996250187561616</c:v>
                </c:pt>
                <c:pt idx="48">
                  <c:v>14.621181325286233</c:v>
                </c:pt>
                <c:pt idx="49">
                  <c:v>15.259899752779951</c:v>
                </c:pt>
                <c:pt idx="50">
                  <c:v>15.91240032466289</c:v>
                </c:pt>
                <c:pt idx="51">
                  <c:v>16.578677731763335</c:v>
                </c:pt>
                <c:pt idx="52">
                  <c:v>17.258726500536522</c:v>
                </c:pt>
                <c:pt idx="53">
                  <c:v>17.952540992524415</c:v>
                </c:pt>
                <c:pt idx="54">
                  <c:v>18.660115403854107</c:v>
                </c:pt>
                <c:pt idx="55">
                  <c:v>19.381443764772694</c:v>
                </c:pt>
                <c:pt idx="56">
                  <c:v>20.116519939216683</c:v>
                </c:pt>
                <c:pt idx="57">
                  <c:v>20.865337624414206</c:v>
                </c:pt>
                <c:pt idx="58">
                  <c:v>21.627890350518371</c:v>
                </c:pt>
                <c:pt idx="59">
                  <c:v>22.404171480270371</c:v>
                </c:pt>
                <c:pt idx="60">
                  <c:v>23.194174208690953</c:v>
                </c:pt>
                <c:pt idx="61">
                  <c:v>23.997891562799051</c:v>
                </c:pt>
                <c:pt idx="62">
                  <c:v>24.815316401356483</c:v>
                </c:pt>
                <c:pt idx="63">
                  <c:v>25.646441414637643</c:v>
                </c:pt>
                <c:pt idx="64">
                  <c:v>26.491259124223284</c:v>
                </c:pt>
                <c:pt idx="65">
                  <c:v>27.349761882817514</c:v>
                </c:pt>
                <c:pt idx="66">
                  <c:v>28.221941874087179</c:v>
                </c:pt>
                <c:pt idx="67">
                  <c:v>29.107791112522925</c:v>
                </c:pt>
                <c:pt idx="68">
                  <c:v>30.007301443321229</c:v>
                </c:pt>
                <c:pt idx="69">
                  <c:v>30.920464542286776</c:v>
                </c:pt>
                <c:pt idx="70">
                  <c:v>31.847271915754604</c:v>
                </c:pt>
                <c:pt idx="71">
                  <c:v>32.787714900531427</c:v>
                </c:pt>
                <c:pt idx="72">
                  <c:v>33.741784663855668</c:v>
                </c:pt>
                <c:pt idx="73">
                  <c:v>34.709472203375725</c:v>
                </c:pt>
                <c:pt idx="74">
                  <c:v>35.690768347145983</c:v>
                </c:pt>
                <c:pt idx="75">
                  <c:v>36.685663753640199</c:v>
                </c:pt>
                <c:pt idx="76">
                  <c:v>37.694148911781852</c:v>
                </c:pt>
                <c:pt idx="77">
                  <c:v>38.716214140991106</c:v>
                </c:pt>
                <c:pt idx="78">
                  <c:v>39.751849591248018</c:v>
                </c:pt>
                <c:pt idx="79">
                  <c:v>40.8010452431717</c:v>
                </c:pt>
                <c:pt idx="80">
                  <c:v>41.863790908115085</c:v>
                </c:pt>
                <c:pt idx="81">
                  <c:v>42.940071429945675</c:v>
                </c:pt>
                <c:pt idx="82">
                  <c:v>44.029861877728656</c:v>
                </c:pt>
                <c:pt idx="83">
                  <c:v>45.133132333118112</c:v>
                </c:pt>
                <c:pt idx="84">
                  <c:v>46.24985268725333</c:v>
                </c:pt>
                <c:pt idx="85">
                  <c:v>47.379992641684524</c:v>
                </c:pt>
                <c:pt idx="86">
                  <c:v>48.523521709314743</c:v>
                </c:pt>
                <c:pt idx="87">
                  <c:v>49.680409215357621</c:v>
                </c:pt>
                <c:pt idx="88">
                  <c:v>50.850624298310578</c:v>
                </c:pt>
                <c:pt idx="89">
                  <c:v>52.034135910943156</c:v>
                </c:pt>
                <c:pt idx="90">
                  <c:v>53.230912821300144</c:v>
                </c:pt>
                <c:pt idx="91">
                  <c:v>54.440921492624689</c:v>
                </c:pt>
                <c:pt idx="92">
                  <c:v>55.66412395961769</c:v>
                </c:pt>
                <c:pt idx="93">
                  <c:v>56.900479946366985</c:v>
                </c:pt>
                <c:pt idx="94">
                  <c:v>58.14994898815317</c:v>
                </c:pt>
                <c:pt idx="95">
                  <c:v>59.41249043289254</c:v>
                </c:pt>
                <c:pt idx="96">
                  <c:v>60.688063442592998</c:v>
                </c:pt>
                <c:pt idx="97">
                  <c:v>61.976626994822567</c:v>
                </c:pt>
                <c:pt idx="98">
                  <c:v>63.27813988419021</c:v>
                </c:pt>
                <c:pt idx="99">
                  <c:v>64.592560723838545</c:v>
                </c:pt>
                <c:pt idx="100">
                  <c:v>65.919847946948224</c:v>
                </c:pt>
                <c:pt idx="101">
                  <c:v>67.259959468813378</c:v>
                </c:pt>
                <c:pt idx="102">
                  <c:v>68.612852348400565</c:v>
                </c:pt>
                <c:pt idx="103">
                  <c:v>69.978483128767778</c:v>
                </c:pt>
                <c:pt idx="104">
                  <c:v>71.35680817805185</c:v>
                </c:pt>
                <c:pt idx="105">
                  <c:v>72.747783691087108</c:v>
                </c:pt>
                <c:pt idx="106">
                  <c:v>74.151365691033703</c:v>
                </c:pt>
                <c:pt idx="107">
                  <c:v>75.567510031015274</c:v>
                </c:pt>
                <c:pt idx="108">
                  <c:v>76.996172395765669</c:v>
                </c:pt>
                <c:pt idx="109">
                  <c:v>78.437308303284482</c:v>
                </c:pt>
                <c:pt idx="110">
                  <c:v>79.890873106500976</c:v>
                </c:pt>
                <c:pt idx="111">
                  <c:v>81.356825905123841</c:v>
                </c:pt>
                <c:pt idx="112">
                  <c:v>82.835133462881416</c:v>
                </c:pt>
                <c:pt idx="113">
                  <c:v>84.325766304174451</c:v>
                </c:pt>
                <c:pt idx="114">
                  <c:v>85.828694805022124</c:v>
                </c:pt>
                <c:pt idx="115">
                  <c:v>87.343889194101806</c:v>
                </c:pt>
                <c:pt idx="116">
                  <c:v>88.871319553796894</c:v>
                </c:pt>
                <c:pt idx="117">
                  <c:v>90.410955821252557</c:v>
                </c:pt>
                <c:pt idx="118">
                  <c:v>91.962767789439269</c:v>
                </c:pt>
                <c:pt idx="119">
                  <c:v>93.526725108223843</c:v>
                </c:pt>
                <c:pt idx="120">
                  <c:v>95.102797285447949</c:v>
                </c:pt>
                <c:pt idx="121">
                  <c:v>96.690947199186212</c:v>
                </c:pt>
                <c:pt idx="122">
                  <c:v>98.291124602065452</c:v>
                </c:pt>
                <c:pt idx="123">
                  <c:v>99.903272604579229</c:v>
                </c:pt>
                <c:pt idx="124">
                  <c:v>101.52733416692158</c:v>
                </c:pt>
                <c:pt idx="125">
                  <c:v>103.16325210123135</c:v>
                </c:pt>
                <c:pt idx="126">
                  <c:v>104.81096907383936</c:v>
                </c:pt>
                <c:pt idx="127">
                  <c:v>106.47042760751795</c:v>
                </c:pt>
                <c:pt idx="128">
                  <c:v>108.14157008373277</c:v>
                </c:pt>
                <c:pt idx="129">
                  <c:v>109.82433874489629</c:v>
                </c:pt>
                <c:pt idx="130">
                  <c:v>111.51867569662285</c:v>
                </c:pt>
                <c:pt idx="131">
                  <c:v>113.22452121032657</c:v>
                </c:pt>
                <c:pt idx="132">
                  <c:v>114.9418120240928</c:v>
                </c:pt>
                <c:pt idx="133">
                  <c:v>116.67048304351177</c:v>
                </c:pt>
                <c:pt idx="134">
                  <c:v>118.41046904440124</c:v>
                </c:pt>
                <c:pt idx="135">
                  <c:v>120.16170467538571</c:v>
                </c:pt>
                <c:pt idx="136">
                  <c:v>121.92412446047344</c:v>
                </c:pt>
                <c:pt idx="137">
                  <c:v>123.69766280163101</c:v>
                </c:pt>
                <c:pt idx="138">
                  <c:v>125.48225398135497</c:v>
                </c:pt>
                <c:pt idx="139">
                  <c:v>127.27783216524035</c:v>
                </c:pt>
                <c:pt idx="140">
                  <c:v>129.08433140454554</c:v>
                </c:pt>
                <c:pt idx="141">
                  <c:v>130.90166530641716</c:v>
                </c:pt>
                <c:pt idx="142">
                  <c:v>132.72970668816069</c:v>
                </c:pt>
                <c:pt idx="143">
                  <c:v>134.56830790785585</c:v>
                </c:pt>
                <c:pt idx="144">
                  <c:v>136.41732121331219</c:v>
                </c:pt>
                <c:pt idx="145">
                  <c:v>138.2765987493795</c:v>
                </c:pt>
                <c:pt idx="146">
                  <c:v>140.1459925652083</c:v>
                </c:pt>
                <c:pt idx="147">
                  <c:v>142.02535462145951</c:v>
                </c:pt>
                <c:pt idx="148">
                  <c:v>143.91453679746186</c:v>
                </c:pt>
                <c:pt idx="149">
                  <c:v>145.81339089831641</c:v>
                </c:pt>
                <c:pt idx="150">
                  <c:v>147.72176866194664</c:v>
                </c:pt>
                <c:pt idx="151">
                  <c:v>149.63952176609362</c:v>
                </c:pt>
                <c:pt idx="152">
                  <c:v>151.56650183525502</c:v>
                </c:pt>
                <c:pt idx="153">
                  <c:v>153.50256044756694</c:v>
                </c:pt>
                <c:pt idx="154">
                  <c:v>155.4475491416278</c:v>
                </c:pt>
                <c:pt idx="155">
                  <c:v>157.40131942326346</c:v>
                </c:pt>
                <c:pt idx="156">
                  <c:v>159.36362642138494</c:v>
                </c:pt>
                <c:pt idx="157">
                  <c:v>161.33403253120548</c:v>
                </c:pt>
                <c:pt idx="158">
                  <c:v>163.31200386248253</c:v>
                </c:pt>
                <c:pt idx="159">
                  <c:v>165.29700672361676</c:v>
                </c:pt>
                <c:pt idx="160">
                  <c:v>167.28850767439644</c:v>
                </c:pt>
                <c:pt idx="161">
                  <c:v>169.28585106733385</c:v>
                </c:pt>
                <c:pt idx="162">
                  <c:v>171.28813666470111</c:v>
                </c:pt>
                <c:pt idx="163">
                  <c:v>173.29435415616197</c:v>
                </c:pt>
                <c:pt idx="164">
                  <c:v>175.30351764451225</c:v>
                </c:pt>
                <c:pt idx="165">
                  <c:v>177.31477112600189</c:v>
                </c:pt>
                <c:pt idx="166">
                  <c:v>179.32749380789372</c:v>
                </c:pt>
                <c:pt idx="167">
                  <c:v>181.34109384496603</c:v>
                </c:pt>
                <c:pt idx="168">
                  <c:v>183.35486670270612</c:v>
                </c:pt>
                <c:pt idx="169">
                  <c:v>185.36790062680041</c:v>
                </c:pt>
                <c:pt idx="170">
                  <c:v>187.37904673864361</c:v>
                </c:pt>
                <c:pt idx="171">
                  <c:v>189.38750130893436</c:v>
                </c:pt>
                <c:pt idx="172">
                  <c:v>191.39306496401636</c:v>
                </c:pt>
                <c:pt idx="173">
                  <c:v>193.39574354352331</c:v>
                </c:pt>
                <c:pt idx="174">
                  <c:v>195.39554286541716</c:v>
                </c:pt>
                <c:pt idx="175">
                  <c:v>197.39246872609442</c:v>
                </c:pt>
                <c:pt idx="176">
                  <c:v>199.38652690049204</c:v>
                </c:pt>
                <c:pt idx="177">
                  <c:v>201.37772314219248</c:v>
                </c:pt>
                <c:pt idx="178">
                  <c:v>203.36606318352813</c:v>
                </c:pt>
                <c:pt idx="179">
                  <c:v>205.35155273568523</c:v>
                </c:pt>
                <c:pt idx="180">
                  <c:v>207.33419748880698</c:v>
                </c:pt>
                <c:pt idx="181">
                  <c:v>209.31400311209615</c:v>
                </c:pt>
                <c:pt idx="182">
                  <c:v>211.29097525391691</c:v>
                </c:pt>
                <c:pt idx="183">
                  <c:v>213.26511954189621</c:v>
                </c:pt>
                <c:pt idx="184">
                  <c:v>215.23644158302437</c:v>
                </c:pt>
                <c:pt idx="185">
                  <c:v>217.20494696375516</c:v>
                </c:pt>
                <c:pt idx="186">
                  <c:v>219.17064125010526</c:v>
                </c:pt>
                <c:pt idx="187">
                  <c:v>221.13352998775306</c:v>
                </c:pt>
                <c:pt idx="188">
                  <c:v>223.09361870213689</c:v>
                </c:pt>
                <c:pt idx="189">
                  <c:v>225.05091289855264</c:v>
                </c:pt>
                <c:pt idx="190">
                  <c:v>227.00541806225078</c:v>
                </c:pt>
                <c:pt idx="191">
                  <c:v>228.95713965853284</c:v>
                </c:pt>
                <c:pt idx="192">
                  <c:v>230.90608313284724</c:v>
                </c:pt>
                <c:pt idx="193">
                  <c:v>232.85225391088454</c:v>
                </c:pt>
                <c:pt idx="194">
                  <c:v>234.79565739867218</c:v>
                </c:pt>
                <c:pt idx="195">
                  <c:v>236.73629898266853</c:v>
                </c:pt>
                <c:pt idx="196">
                  <c:v>238.67418402985655</c:v>
                </c:pt>
                <c:pt idx="197">
                  <c:v>240.60931788783665</c:v>
                </c:pt>
                <c:pt idx="198">
                  <c:v>242.54170588491922</c:v>
                </c:pt>
                <c:pt idx="199">
                  <c:v>244.47135333021643</c:v>
                </c:pt>
                <c:pt idx="200">
                  <c:v>246.39826551373358</c:v>
                </c:pt>
                <c:pt idx="201">
                  <c:v>265.51735623924014</c:v>
                </c:pt>
                <c:pt idx="202">
                  <c:v>284.36631129770609</c:v>
                </c:pt>
                <c:pt idx="203">
                  <c:v>302.95023953467677</c:v>
                </c:pt>
                <c:pt idx="204">
                  <c:v>321.27407037934501</c:v>
                </c:pt>
                <c:pt idx="205">
                  <c:v>339.34256207921163</c:v>
                </c:pt>
                <c:pt idx="206">
                  <c:v>357.16030946097283</c:v>
                </c:pt>
                <c:pt idx="207">
                  <c:v>374.73175125012062</c:v>
                </c:pt>
                <c:pt idx="208">
                  <c:v>392.06117697916005</c:v>
                </c:pt>
                <c:pt idx="209">
                  <c:v>409.15273351199926</c:v>
                </c:pt>
                <c:pt idx="210">
                  <c:v>426.01043120992881</c:v>
                </c:pt>
                <c:pt idx="211">
                  <c:v>442.63814976265553</c:v>
                </c:pt>
                <c:pt idx="212">
                  <c:v>459.03964370607497</c:v>
                </c:pt>
                <c:pt idx="213">
                  <c:v>475.21854764683849</c:v>
                </c:pt>
                <c:pt idx="214">
                  <c:v>491.17838121228226</c:v>
                </c:pt>
                <c:pt idx="215">
                  <c:v>506.92255374292114</c:v>
                </c:pt>
                <c:pt idx="216">
                  <c:v>522.45436874346012</c:v>
                </c:pt>
                <c:pt idx="217">
                  <c:v>537.77702810712992</c:v>
                </c:pt>
                <c:pt idx="218">
                  <c:v>552.89363612709826</c:v>
                </c:pt>
                <c:pt idx="219">
                  <c:v>567.80720330774102</c:v>
                </c:pt>
                <c:pt idx="220">
                  <c:v>582.52064998766696</c:v>
                </c:pt>
                <c:pt idx="221">
                  <c:v>597.03680978556679</c:v>
                </c:pt>
                <c:pt idx="222">
                  <c:v>611.3584328792042</c:v>
                </c:pt>
                <c:pt idx="223">
                  <c:v>625.48818912716638</c:v>
                </c:pt>
                <c:pt idx="224">
                  <c:v>639.42867104234813</c:v>
                </c:pt>
                <c:pt idx="225">
                  <c:v>653.18239662554959</c:v>
                </c:pt>
                <c:pt idx="226">
                  <c:v>666.75181206701609</c:v>
                </c:pt>
                <c:pt idx="227">
                  <c:v>680.1392943232388</c:v>
                </c:pt>
                <c:pt idx="228">
                  <c:v>693.34715357586549</c:v>
                </c:pt>
                <c:pt idx="229">
                  <c:v>706.37763557913161</c:v>
                </c:pt>
                <c:pt idx="230">
                  <c:v>719.23292390181655</c:v>
                </c:pt>
                <c:pt idx="231">
                  <c:v>731.91514206935449</c:v>
                </c:pt>
                <c:pt idx="232">
                  <c:v>744.42635561137945</c:v>
                </c:pt>
                <c:pt idx="233">
                  <c:v>756.76857401965856</c:v>
                </c:pt>
                <c:pt idx="234">
                  <c:v>768.94375262106632</c:v>
                </c:pt>
                <c:pt idx="235">
                  <c:v>780.95379436997064</c:v>
                </c:pt>
                <c:pt idx="236">
                  <c:v>792.80055156414016</c:v>
                </c:pt>
                <c:pt idx="237">
                  <c:v>804.48582748803756</c:v>
                </c:pt>
                <c:pt idx="238">
                  <c:v>816.01137798713648</c:v>
                </c:pt>
                <c:pt idx="239">
                  <c:v>827.37891297668716</c:v>
                </c:pt>
                <c:pt idx="240">
                  <c:v>838.59009788815729</c:v>
                </c:pt>
                <c:pt idx="241">
                  <c:v>849.64655505638984</c:v>
                </c:pt>
                <c:pt idx="242">
                  <c:v>860.54986505034594</c:v>
                </c:pt>
                <c:pt idx="243">
                  <c:v>871.30156795013932</c:v>
                </c:pt>
                <c:pt idx="244">
                  <c:v>881.90316457291681</c:v>
                </c:pt>
                <c:pt idx="245">
                  <c:v>892.35611764999828</c:v>
                </c:pt>
                <c:pt idx="246">
                  <c:v>902.66185295755554</c:v>
                </c:pt>
                <c:pt idx="247">
                  <c:v>912.82176040298509</c:v>
                </c:pt>
                <c:pt idx="248">
                  <c:v>922.83719506901411</c:v>
                </c:pt>
                <c:pt idx="249">
                  <c:v>932.70947821746779</c:v>
                </c:pt>
                <c:pt idx="250">
                  <c:v>942.43989825452365</c:v>
                </c:pt>
                <c:pt idx="251">
                  <c:v>952.02971165918234</c:v>
                </c:pt>
                <c:pt idx="252">
                  <c:v>961.48014387659305</c:v>
                </c:pt>
                <c:pt idx="253">
                  <c:v>970.79239017778627</c:v>
                </c:pt>
                <c:pt idx="254">
                  <c:v>979.96761648728636</c:v>
                </c:pt>
                <c:pt idx="255">
                  <c:v>989.00696018000099</c:v>
                </c:pt>
                <c:pt idx="256">
                  <c:v>997.91153084871257</c:v>
                </c:pt>
                <c:pt idx="257">
                  <c:v>1006.6824110434319</c:v>
                </c:pt>
                <c:pt idx="258">
                  <c:v>1015.3206569838072</c:v>
                </c:pt>
                <c:pt idx="259">
                  <c:v>1023.8272992457272</c:v>
                </c:pt>
                <c:pt idx="260">
                  <c:v>1032.2033434231957</c:v>
                </c:pt>
                <c:pt idx="261">
                  <c:v>1040.4497707665073</c:v>
                </c:pt>
                <c:pt idx="262">
                  <c:v>1048.5675387976985</c:v>
                </c:pt>
                <c:pt idx="263">
                  <c:v>1056.5575819042072</c:v>
                </c:pt>
                <c:pt idx="264">
                  <c:v>1064.4208119116236</c:v>
                </c:pt>
                <c:pt idx="265">
                  <c:v>1072.1581186363771</c:v>
                </c:pt>
                <c:pt idx="266">
                  <c:v>1079.770370419164</c:v>
                </c:pt>
                <c:pt idx="267">
                  <c:v>1087.2584146398801</c:v>
                </c:pt>
                <c:pt idx="268">
                  <c:v>1094.6230782147918</c:v>
                </c:pt>
                <c:pt idx="269">
                  <c:v>1101.8651680766411</c:v>
                </c:pt>
                <c:pt idx="270">
                  <c:v>1108.9854716383527</c:v>
                </c:pt>
                <c:pt idx="271">
                  <c:v>1115.9847572409769</c:v>
                </c:pt>
                <c:pt idx="272">
                  <c:v>1122.8637745864796</c:v>
                </c:pt>
                <c:pt idx="273">
                  <c:v>1129.6232551559563</c:v>
                </c:pt>
                <c:pt idx="274">
                  <c:v>1136.2639126138315</c:v>
                </c:pt>
                <c:pt idx="275">
                  <c:v>1142.7864431985724</c:v>
                </c:pt>
                <c:pt idx="276">
                  <c:v>1149.1915261004287</c:v>
                </c:pt>
                <c:pt idx="277">
                  <c:v>1155.4798238266876</c:v>
                </c:pt>
                <c:pt idx="278">
                  <c:v>1161.6519825549137</c:v>
                </c:pt>
                <c:pt idx="279">
                  <c:v>1167.7086324746242</c:v>
                </c:pt>
                <c:pt idx="280">
                  <c:v>1173.6503881178335</c:v>
                </c:pt>
                <c:pt idx="281">
                  <c:v>1179.4778486788839</c:v>
                </c:pt>
                <c:pt idx="282">
                  <c:v>1185.1915983239655</c:v>
                </c:pt>
                <c:pt idx="283">
                  <c:v>1190.7922064907116</c:v>
                </c:pt>
                <c:pt idx="284">
                  <c:v>1196.2802281782454</c:v>
                </c:pt>
                <c:pt idx="285">
                  <c:v>1201.6562042280416</c:v>
                </c:pt>
                <c:pt idx="286">
                  <c:v>1206.9206615959536</c:v>
                </c:pt>
                <c:pt idx="287">
                  <c:v>1212.074113615749</c:v>
                </c:pt>
                <c:pt idx="288">
                  <c:v>1217.1170602544862</c:v>
                </c:pt>
                <c:pt idx="289">
                  <c:v>1222.049988360058</c:v>
                </c:pt>
                <c:pt idx="290">
                  <c:v>1226.8733719012212</c:v>
                </c:pt>
                <c:pt idx="291">
                  <c:v>1231.5876722004245</c:v>
                </c:pt>
                <c:pt idx="292">
                  <c:v>1236.1933381597455</c:v>
                </c:pt>
                <c:pt idx="293">
                  <c:v>1240.6908064802408</c:v>
                </c:pt>
                <c:pt idx="294">
                  <c:v>1245.0805018750166</c:v>
                </c:pt>
                <c:pt idx="295">
                  <c:v>1249.3628372763205</c:v>
                </c:pt>
                <c:pt idx="296">
                  <c:v>1253.5382140369641</c:v>
                </c:pt>
                <c:pt idx="297">
                  <c:v>1257.6070221263801</c:v>
                </c:pt>
                <c:pt idx="298">
                  <c:v>1261.5696403216336</c:v>
                </c:pt>
                <c:pt idx="299">
                  <c:v>1265.4264363937018</c:v>
                </c:pt>
                <c:pt idx="300">
                  <c:v>1269.177767289355</c:v>
                </c:pt>
                <c:pt idx="301">
                  <c:v>1272.8239793089767</c:v>
                </c:pt>
                <c:pt idx="302">
                  <c:v>1276.3654082806811</c:v>
                </c:pt>
                <c:pt idx="303">
                  <c:v>1279.8023797310921</c:v>
                </c:pt>
                <c:pt idx="304">
                  <c:v>1283.1352090531809</c:v>
                </c:pt>
                <c:pt idx="305">
                  <c:v>1286.364201671573</c:v>
                </c:pt>
                <c:pt idx="306">
                  <c:v>1289.4896532057635</c:v>
                </c:pt>
                <c:pt idx="307">
                  <c:v>1292.5118496317145</c:v>
                </c:pt>
                <c:pt idx="308">
                  <c:v>1295.43106744234</c:v>
                </c:pt>
                <c:pt idx="309">
                  <c:v>1298.247573807424</c:v>
                </c:pt>
                <c:pt idx="310">
                  <c:v>1300.961626733563</c:v>
                </c:pt>
                <c:pt idx="311">
                  <c:v>1303.5734752247736</c:v>
                </c:pt>
                <c:pt idx="312">
                  <c:v>1306.0833594444616</c:v>
                </c:pt>
                <c:pt idx="313">
                  <c:v>1308.491510879508</c:v>
                </c:pt>
                <c:pt idx="314">
                  <c:v>1310.7981525072958</c:v>
                </c:pt>
                <c:pt idx="315">
                  <c:v>1313.0034989665689</c:v>
                </c:pt>
                <c:pt idx="316">
                  <c:v>1315.107756733094</c:v>
                </c:pt>
                <c:pt idx="317">
                  <c:v>1317.1111243011665</c:v>
                </c:pt>
                <c:pt idx="318">
                  <c:v>1319.0137923720883</c:v>
                </c:pt>
                <c:pt idx="319">
                  <c:v>1320.81594405082</c:v>
                </c:pt>
                <c:pt idx="320">
                  <c:v>1322.51775505208</c:v>
                </c:pt>
                <c:pt idx="321">
                  <c:v>1324.1193939172363</c:v>
                </c:pt>
                <c:pt idx="322">
                  <c:v>1325.621022243381</c:v>
                </c:pt>
                <c:pt idx="323">
                  <c:v>1327.0227949260161</c:v>
                </c:pt>
                <c:pt idx="324">
                  <c:v>1328.3248604167791</c:v>
                </c:pt>
                <c:pt idx="325">
                  <c:v>1329.5273609976141</c:v>
                </c:pt>
                <c:pt idx="326">
                  <c:v>1330.6304330727162</c:v>
                </c:pt>
                <c:pt idx="327">
                  <c:v>1331.6342074794536</c:v>
                </c:pt>
                <c:pt idx="328">
                  <c:v>1332.5388098192857</c:v>
                </c:pt>
                <c:pt idx="329">
                  <c:v>1333.3443608094392</c:v>
                </c:pt>
                <c:pt idx="330">
                  <c:v>1334.0509766557805</c:v>
                </c:pt>
                <c:pt idx="331">
                  <c:v>1334.6587694469183</c:v>
                </c:pt>
                <c:pt idx="332">
                  <c:v>1335.1678475691085</c:v>
                </c:pt>
                <c:pt idx="333">
                  <c:v>1335.5783161410031</c:v>
                </c:pt>
                <c:pt idx="334">
                  <c:v>1335.8902774667242</c:v>
                </c:pt>
                <c:pt idx="335">
                  <c:v>1336.1038315051574</c:v>
                </c:pt>
                <c:pt idx="336">
                  <c:v>1336.2190763527988</c:v>
                </c:pt>
                <c:pt idx="337">
                  <c:v>1336.2361087369588</c:v>
                </c:pt>
                <c:pt idx="338">
                  <c:v>1336.1550245156895</c:v>
                </c:pt>
                <c:pt idx="339">
                  <c:v>1335.9759191804633</c:v>
                </c:pt>
                <c:pt idx="340">
                  <c:v>1335.6988883574356</c:v>
                </c:pt>
                <c:pt idx="341">
                  <c:v>1335.3240283030686</c:v>
                </c:pt>
                <c:pt idx="342">
                  <c:v>1334.8514363899967</c:v>
                </c:pt>
                <c:pt idx="343">
                  <c:v>1334.2812115792638</c:v>
                </c:pt>
                <c:pt idx="344">
                  <c:v>1333.6134548754326</c:v>
                </c:pt>
                <c:pt idx="345">
                  <c:v>1332.8482697615457</c:v>
                </c:pt>
                <c:pt idx="346">
                  <c:v>1331.9857626114576</c:v>
                </c:pt>
                <c:pt idx="347">
                  <c:v>1331.0260430776407</c:v>
                </c:pt>
                <c:pt idx="348">
                  <c:v>1329.9692244531468</c:v>
                </c:pt>
                <c:pt idx="349">
                  <c:v>1328.8154240069639</c:v>
                </c:pt>
                <c:pt idx="350">
                  <c:v>1327.5647632925168</c:v>
                </c:pt>
                <c:pt idx="351">
                  <c:v>1326.2173684295087</c:v>
                </c:pt>
                <c:pt idx="352">
                  <c:v>1324.7733703596743</c:v>
                </c:pt>
                <c:pt idx="353">
                  <c:v>1323.2329050773169</c:v>
                </c:pt>
                <c:pt idx="354">
                  <c:v>1321.5961138357306</c:v>
                </c:pt>
                <c:pt idx="355">
                  <c:v>1319.8631433307712</c:v>
                </c:pt>
                <c:pt idx="356">
                  <c:v>1318.0341458629366</c:v>
                </c:pt>
                <c:pt idx="357">
                  <c:v>1316.1092794793781</c:v>
                </c:pt>
                <c:pt idx="358">
                  <c:v>1314.088708097265</c:v>
                </c:pt>
                <c:pt idx="359">
                  <c:v>1311.9726016099094</c:v>
                </c:pt>
                <c:pt idx="360">
                  <c:v>1309.7611359770096</c:v>
                </c:pt>
                <c:pt idx="361">
                  <c:v>1307.4544933003071</c:v>
                </c:pt>
                <c:pt idx="362">
                  <c:v>1305.0528618858759</c:v>
                </c:pt>
                <c:pt idx="363">
                  <c:v>1302.5564362941836</c:v>
                </c:pt>
                <c:pt idx="364">
                  <c:v>1299.9654173789777</c:v>
                </c:pt>
                <c:pt idx="365">
                  <c:v>1297.2800123159634</c:v>
                </c:pt>
                <c:pt idx="366">
                  <c:v>1294.5004346221647</c:v>
                </c:pt>
                <c:pt idx="367">
                  <c:v>1291.626904166769</c:v>
                </c:pt>
                <c:pt idx="368">
                  <c:v>1288.659647174195</c:v>
                </c:pt>
                <c:pt idx="369">
                  <c:v>1285.5988962200433</c:v>
                </c:pt>
                <c:pt idx="370">
                  <c:v>1282.4448902205311</c:v>
                </c:pt>
                <c:pt idx="371">
                  <c:v>1279.1978744159514</c:v>
                </c:pt>
                <c:pt idx="372">
                  <c:v>1275.8581003486486</c:v>
                </c:pt>
                <c:pt idx="373">
                  <c:v>1272.4258258359432</c:v>
                </c:pt>
                <c:pt idx="374">
                  <c:v>1268.9013149384114</c:v>
                </c:pt>
                <c:pt idx="375">
                  <c:v>1265.2848379238696</c:v>
                </c:pt>
                <c:pt idx="376">
                  <c:v>1261.5766712273921</c:v>
                </c:pt>
                <c:pt idx="377">
                  <c:v>1257.7770974076509</c:v>
                </c:pt>
                <c:pt idx="378">
                  <c:v>1253.8864050998436</c:v>
                </c:pt>
                <c:pt idx="379">
                  <c:v>1249.9048889654484</c:v>
                </c:pt>
                <c:pt idx="380">
                  <c:v>1245.8328496390241</c:v>
                </c:pt>
                <c:pt idx="381">
                  <c:v>1241.6705936722515</c:v>
                </c:pt>
                <c:pt idx="382">
                  <c:v>1237.4184334754013</c:v>
                </c:pt>
                <c:pt idx="383">
                  <c:v>1233.0766872563902</c:v>
                </c:pt>
                <c:pt idx="384">
                  <c:v>1228.6456789575777</c:v>
                </c:pt>
                <c:pt idx="385">
                  <c:v>1224.1257381904466</c:v>
                </c:pt>
                <c:pt idx="386">
                  <c:v>1219.517200168292</c:v>
                </c:pt>
                <c:pt idx="387">
                  <c:v>1214.820405637043</c:v>
                </c:pt>
                <c:pt idx="388">
                  <c:v>1210.0357008043243</c:v>
                </c:pt>
                <c:pt idx="389">
                  <c:v>1205.1634372668641</c:v>
                </c:pt>
                <c:pt idx="390">
                  <c:v>1200.2039719363443</c:v>
                </c:pt>
                <c:pt idx="391">
                  <c:v>1195.1576669637845</c:v>
                </c:pt>
                <c:pt idx="392">
                  <c:v>1190.0248896625462</c:v>
                </c:pt>
                <c:pt idx="393">
                  <c:v>1184.8060124300353</c:v>
                </c:pt>
                <c:pt idx="394">
                  <c:v>1179.501412668184</c:v>
                </c:pt>
                <c:pt idx="395">
                  <c:v>1174.1114727027825</c:v>
                </c:pt>
                <c:pt idx="396">
                  <c:v>1168.6365797017302</c:v>
                </c:pt>
                <c:pt idx="397">
                  <c:v>1163.0771255922732</c:v>
                </c:pt>
                <c:pt idx="398">
                  <c:v>1157.4335069772926</c:v>
                </c:pt>
                <c:pt idx="399">
                  <c:v>1151.7061250507038</c:v>
                </c:pt>
                <c:pt idx="400">
                  <c:v>1145.895385512026</c:v>
                </c:pt>
                <c:pt idx="401">
                  <c:v>1140.00169848018</c:v>
                </c:pt>
                <c:pt idx="402">
                  <c:v>1134.0254784065673</c:v>
                </c:pt>
                <c:pt idx="403">
                  <c:v>1127.9671439874853</c:v>
                </c:pt>
                <c:pt idx="404">
                  <c:v>1121.8271180759302</c:v>
                </c:pt>
                <c:pt idx="405">
                  <c:v>1115.6058275928378</c:v>
                </c:pt>
                <c:pt idx="406">
                  <c:v>1109.3037034378101</c:v>
                </c:pt>
                <c:pt idx="407">
                  <c:v>1102.9211803993776</c:v>
                </c:pt>
                <c:pt idx="408">
                  <c:v>1096.4586970648415</c:v>
                </c:pt>
                <c:pt idx="409">
                  <c:v>1089.916695729743</c:v>
                </c:pt>
                <c:pt idx="410">
                  <c:v>1083.2956223070028</c:v>
                </c:pt>
                <c:pt idx="411">
                  <c:v>1076.5959262357749</c:v>
                </c:pt>
                <c:pt idx="412">
                  <c:v>1069.8180603900576</c:v>
                </c:pt>
                <c:pt idx="413">
                  <c:v>1062.962480987102</c:v>
                </c:pt>
                <c:pt idx="414">
                  <c:v>1056.0296474956597</c:v>
                </c:pt>
                <c:pt idx="415">
                  <c:v>1049.0200225441092</c:v>
                </c:pt>
                <c:pt idx="416">
                  <c:v>1041.9340718285016</c:v>
                </c:pt>
                <c:pt idx="417">
                  <c:v>1034.7722640205607</c:v>
                </c:pt>
                <c:pt idx="418">
                  <c:v>1027.5350706756778</c:v>
                </c:pt>
                <c:pt idx="419">
                  <c:v>1020.2229661409385</c:v>
                </c:pt>
                <c:pt idx="420">
                  <c:v>1012.8364274632144</c:v>
                </c:pt>
                <c:pt idx="421">
                  <c:v>1005.3759342973584</c:v>
                </c:pt>
                <c:pt idx="422">
                  <c:v>997.84196881453704</c:v>
                </c:pt>
                <c:pt idx="423">
                  <c:v>990.23501561073329</c:v>
                </c:pt>
                <c:pt idx="424">
                  <c:v>982.55556161545417</c:v>
                </c:pt>
                <c:pt idx="425">
                  <c:v>974.80409600067549</c:v>
                </c:pt>
                <c:pt idx="426">
                  <c:v>966.98111009005538</c:v>
                </c:pt>
                <c:pt idx="427">
                  <c:v>959.08709726844813</c:v>
                </c:pt>
                <c:pt idx="428">
                  <c:v>951.12255289174925</c:v>
                </c:pt>
                <c:pt idx="429">
                  <c:v>943.08797419710118</c:v>
                </c:pt>
                <c:pt idx="430">
                  <c:v>934.98386021348927</c:v>
                </c:pt>
                <c:pt idx="431">
                  <c:v>926.81071167275638</c:v>
                </c:pt>
                <c:pt idx="432">
                  <c:v>918.56903092106461</c:v>
                </c:pt>
                <c:pt idx="433">
                  <c:v>910.25932183083069</c:v>
                </c:pt>
                <c:pt idx="434">
                  <c:v>901.88208971316203</c:v>
                </c:pt>
                <c:pt idx="435">
                  <c:v>893.43784123081946</c:v>
                </c:pt>
                <c:pt idx="436">
                  <c:v>884.92708431173196</c:v>
                </c:pt>
                <c:pt idx="437">
                  <c:v>876.3503280630872</c:v>
                </c:pt>
                <c:pt idx="438">
                  <c:v>867.70808268602309</c:v>
                </c:pt>
                <c:pt idx="439">
                  <c:v>859.00085939094288</c:v>
                </c:pt>
                <c:pt idx="440">
                  <c:v>850.22917031347595</c:v>
                </c:pt>
                <c:pt idx="441">
                  <c:v>841.3935284311076</c:v>
                </c:pt>
                <c:pt idx="442">
                  <c:v>832.49444748049757</c:v>
                </c:pt>
                <c:pt idx="443">
                  <c:v>823.53244187550877</c:v>
                </c:pt>
                <c:pt idx="444">
                  <c:v>814.50802662596618</c:v>
                </c:pt>
                <c:pt idx="445">
                  <c:v>805.42171725716491</c:v>
                </c:pt>
                <c:pt idx="446">
                  <c:v>796.2740297301458</c:v>
                </c:pt>
                <c:pt idx="447">
                  <c:v>787.06548036275706</c:v>
                </c:pt>
                <c:pt idx="448">
                  <c:v>777.79658575151893</c:v>
                </c:pt>
                <c:pt idx="449">
                  <c:v>768.46786269430788</c:v>
                </c:pt>
                <c:pt idx="450">
                  <c:v>759.07982811387672</c:v>
                </c:pt>
                <c:pt idx="451">
                  <c:v>749.63299898222522</c:v>
                </c:pt>
                <c:pt idx="452">
                  <c:v>740.12789224583707</c:v>
                </c:pt>
                <c:pt idx="453">
                  <c:v>730.56502475179582</c:v>
                </c:pt>
                <c:pt idx="454">
                  <c:v>720.94491317479424</c:v>
                </c:pt>
                <c:pt idx="455">
                  <c:v>711.26807394504965</c:v>
                </c:pt>
                <c:pt idx="456">
                  <c:v>701.53502317713674</c:v>
                </c:pt>
                <c:pt idx="457">
                  <c:v>691.74627659975044</c:v>
                </c:pt>
                <c:pt idx="458">
                  <c:v>681.90234948640853</c:v>
                </c:pt>
                <c:pt idx="459">
                  <c:v>672.00375658710516</c:v>
                </c:pt>
                <c:pt idx="460">
                  <c:v>662.05101206092456</c:v>
                </c:pt>
                <c:pt idx="461">
                  <c:v>652.04462940962412</c:v>
                </c:pt>
                <c:pt idx="462">
                  <c:v>641.98512141219487</c:v>
                </c:pt>
                <c:pt idx="463">
                  <c:v>631.87300006040789</c:v>
                </c:pt>
                <c:pt idx="464">
                  <c:v>621.70877649535328</c:v>
                </c:pt>
                <c:pt idx="465">
                  <c:v>611.49296094497913</c:v>
                </c:pt>
                <c:pt idx="466">
                  <c:v>601.22606266263551</c:v>
                </c:pt>
                <c:pt idx="467">
                  <c:v>590.90858986663045</c:v>
                </c:pt>
                <c:pt idx="468">
                  <c:v>580.54104968080151</c:v>
                </c:pt>
                <c:pt idx="469">
                  <c:v>570.12394807610826</c:v>
                </c:pt>
                <c:pt idx="470">
                  <c:v>559.65778981324945</c:v>
                </c:pt>
                <c:pt idx="471">
                  <c:v>549.14307838630828</c:v>
                </c:pt>
                <c:pt idx="472">
                  <c:v>538.58031596742831</c:v>
                </c:pt>
                <c:pt idx="473">
                  <c:v>527.97000335252278</c:v>
                </c:pt>
                <c:pt idx="474">
                  <c:v>517.3126399080187</c:v>
                </c:pt>
                <c:pt idx="475">
                  <c:v>506.60872351863782</c:v>
                </c:pt>
                <c:pt idx="476">
                  <c:v>495.85875053621459</c:v>
                </c:pt>
                <c:pt idx="477">
                  <c:v>485.06321572955198</c:v>
                </c:pt>
                <c:pt idx="478">
                  <c:v>474.22261223531467</c:v>
                </c:pt>
                <c:pt idx="479">
                  <c:v>463.33743150995963</c:v>
                </c:pt>
                <c:pt idx="480">
                  <c:v>452.40816328270256</c:v>
                </c:pt>
                <c:pt idx="481">
                  <c:v>441.43529550951916</c:v>
                </c:pt>
                <c:pt idx="482">
                  <c:v>430.41931432817921</c:v>
                </c:pt>
                <c:pt idx="483">
                  <c:v>419.36070401431112</c:v>
                </c:pt>
                <c:pt idx="484">
                  <c:v>408.25994693849441</c:v>
                </c:pt>
                <c:pt idx="485">
                  <c:v>397.11752352437719</c:v>
                </c:pt>
                <c:pt idx="486">
                  <c:v>385.93391220781467</c:v>
                </c:pt>
                <c:pt idx="487">
                  <c:v>374.70958939702547</c:v>
                </c:pt>
                <c:pt idx="488">
                  <c:v>363.44502943376108</c:v>
                </c:pt>
                <c:pt idx="489">
                  <c:v>352.14070455548421</c:v>
                </c:pt>
                <c:pt idx="490">
                  <c:v>340.79708485855076</c:v>
                </c:pt>
                <c:pt idx="491">
                  <c:v>329.41463826239061</c:v>
                </c:pt>
                <c:pt idx="492">
                  <c:v>317.99383047468115</c:v>
                </c:pt>
                <c:pt idx="493">
                  <c:v>306.53512495750829</c:v>
                </c:pt>
                <c:pt idx="494">
                  <c:v>295.03898289450791</c:v>
                </c:pt>
                <c:pt idx="495">
                  <c:v>283.50586315898215</c:v>
                </c:pt>
                <c:pt idx="496">
                  <c:v>271.93622228298307</c:v>
                </c:pt>
                <c:pt idx="497">
                  <c:v>260.33051442735689</c:v>
                </c:pt>
                <c:pt idx="498">
                  <c:v>248.68919135274152</c:v>
                </c:pt>
                <c:pt idx="499">
                  <c:v>237.01270239150983</c:v>
                </c:pt>
                <c:pt idx="500">
                  <c:v>225.3014944206505</c:v>
                </c:pt>
                <c:pt idx="501">
                  <c:v>213.55601183557886</c:v>
                </c:pt>
                <c:pt idx="502">
                  <c:v>201.77669652486892</c:v>
                </c:pt>
                <c:pt idx="503">
                  <c:v>189.96398784589863</c:v>
                </c:pt>
                <c:pt idx="504">
                  <c:v>178.11832260139906</c:v>
                </c:pt>
                <c:pt idx="505">
                  <c:v>166.24013501689907</c:v>
                </c:pt>
                <c:pt idx="506">
                  <c:v>154.32985671905604</c:v>
                </c:pt>
                <c:pt idx="507">
                  <c:v>142.38791671486348</c:v>
                </c:pt>
                <c:pt idx="508">
                  <c:v>130.41474137172617</c:v>
                </c:pt>
                <c:pt idx="509">
                  <c:v>118.4107543983929</c:v>
                </c:pt>
                <c:pt idx="510">
                  <c:v>106.37637682673738</c:v>
                </c:pt>
                <c:pt idx="511">
                  <c:v>94.31202699437722</c:v>
                </c:pt>
                <c:pt idx="512">
                  <c:v>82.218120528120721</c:v>
                </c:pt>
                <c:pt idx="513">
                  <c:v>70.095070328231827</c:v>
                </c:pt>
                <c:pt idx="514">
                  <c:v>57.943286553502297</c:v>
                </c:pt>
                <c:pt idx="515">
                  <c:v>45.763176607121189</c:v>
                </c:pt>
                <c:pt idx="516">
                  <c:v>33.555145123330803</c:v>
                </c:pt>
                <c:pt idx="517">
                  <c:v>21.319593954858657</c:v>
                </c:pt>
                <c:pt idx="518">
                  <c:v>9.0569221611146666</c:v>
                </c:pt>
                <c:pt idx="519">
                  <c:v>-3.232474002857165</c:v>
                </c:pt>
                <c:pt idx="520">
                  <c:v>-3.2447766755611598</c:v>
                </c:pt>
                <c:pt idx="521">
                  <c:v>-3.2570793743998752</c:v>
                </c:pt>
                <c:pt idx="522">
                  <c:v>-3.2693820993729226</c:v>
                </c:pt>
                <c:pt idx="523">
                  <c:v>-3.2816848504799134</c:v>
                </c:pt>
                <c:pt idx="524">
                  <c:v>-3.2939876277204601</c:v>
                </c:pt>
                <c:pt idx="525">
                  <c:v>-3.3062904310941734</c:v>
                </c:pt>
                <c:pt idx="526">
                  <c:v>-3.3185932606006654</c:v>
                </c:pt>
                <c:pt idx="527">
                  <c:v>-3.3308961162395478</c:v>
                </c:pt>
                <c:pt idx="528">
                  <c:v>-3.3431989980104322</c:v>
                </c:pt>
                <c:pt idx="529">
                  <c:v>-3.3555019059129303</c:v>
                </c:pt>
                <c:pt idx="530">
                  <c:v>-3.367804839946654</c:v>
                </c:pt>
                <c:pt idx="531">
                  <c:v>-3.3801078001112148</c:v>
                </c:pt>
                <c:pt idx="532">
                  <c:v>-3.3924107864062241</c:v>
                </c:pt>
                <c:pt idx="533">
                  <c:v>-3.4047137988312941</c:v>
                </c:pt>
                <c:pt idx="534">
                  <c:v>-3.4170168373860359</c:v>
                </c:pt>
                <c:pt idx="535">
                  <c:v>-3.4293199020700618</c:v>
                </c:pt>
                <c:pt idx="536">
                  <c:v>-3.4416229928829831</c:v>
                </c:pt>
                <c:pt idx="537">
                  <c:v>-3.4539261098244114</c:v>
                </c:pt>
                <c:pt idx="538">
                  <c:v>-3.4662292528939589</c:v>
                </c:pt>
                <c:pt idx="539">
                  <c:v>-3.478532422091237</c:v>
                </c:pt>
                <c:pt idx="540">
                  <c:v>-3.4908356174158572</c:v>
                </c:pt>
                <c:pt idx="541">
                  <c:v>-3.5031388388674314</c:v>
                </c:pt>
                <c:pt idx="542">
                  <c:v>-3.5154420864455713</c:v>
                </c:pt>
                <c:pt idx="543">
                  <c:v>-3.5277453601498885</c:v>
                </c:pt>
                <c:pt idx="544">
                  <c:v>-3.5400486599799947</c:v>
                </c:pt>
                <c:pt idx="545">
                  <c:v>-3.5523519859355019</c:v>
                </c:pt>
                <c:pt idx="546">
                  <c:v>-3.564655338016022</c:v>
                </c:pt>
                <c:pt idx="547">
                  <c:v>-3.5769587162211662</c:v>
                </c:pt>
                <c:pt idx="548">
                  <c:v>-3.5892621205505466</c:v>
                </c:pt>
                <c:pt idx="549">
                  <c:v>-3.6015655510037745</c:v>
                </c:pt>
                <c:pt idx="550">
                  <c:v>-3.6138690075804618</c:v>
                </c:pt>
                <c:pt idx="551">
                  <c:v>-3.6261724902802204</c:v>
                </c:pt>
                <c:pt idx="552">
                  <c:v>-3.6384759991026621</c:v>
                </c:pt>
                <c:pt idx="553">
                  <c:v>-3.6507795340473983</c:v>
                </c:pt>
                <c:pt idx="554">
                  <c:v>-3.663083095114041</c:v>
                </c:pt>
                <c:pt idx="555">
                  <c:v>-3.6753866823022019</c:v>
                </c:pt>
                <c:pt idx="556">
                  <c:v>-3.6876902956114925</c:v>
                </c:pt>
                <c:pt idx="557">
                  <c:v>-3.6999939350415252</c:v>
                </c:pt>
                <c:pt idx="558">
                  <c:v>-3.7122976005919113</c:v>
                </c:pt>
                <c:pt idx="559">
                  <c:v>-3.7246012922622622</c:v>
                </c:pt>
                <c:pt idx="560">
                  <c:v>-3.7369050100521903</c:v>
                </c:pt>
                <c:pt idx="561">
                  <c:v>-3.749208753961307</c:v>
                </c:pt>
                <c:pt idx="562">
                  <c:v>-3.7615125239892242</c:v>
                </c:pt>
                <c:pt idx="563">
                  <c:v>-3.7738163201355537</c:v>
                </c:pt>
                <c:pt idx="564">
                  <c:v>-3.7861201423999074</c:v>
                </c:pt>
                <c:pt idx="565">
                  <c:v>-3.7984239907818966</c:v>
                </c:pt>
                <c:pt idx="566">
                  <c:v>-3.8107278652811334</c:v>
                </c:pt>
                <c:pt idx="567">
                  <c:v>-3.8230317658972295</c:v>
                </c:pt>
                <c:pt idx="568">
                  <c:v>-3.8353356926297968</c:v>
                </c:pt>
                <c:pt idx="569">
                  <c:v>-3.8476396454784472</c:v>
                </c:pt>
                <c:pt idx="570">
                  <c:v>-3.859943624442792</c:v>
                </c:pt>
                <c:pt idx="571">
                  <c:v>-3.8722476295224433</c:v>
                </c:pt>
                <c:pt idx="572">
                  <c:v>-3.8845516607170127</c:v>
                </c:pt>
                <c:pt idx="573">
                  <c:v>-3.8968557180261123</c:v>
                </c:pt>
                <c:pt idx="574">
                  <c:v>-3.9091598014493538</c:v>
                </c:pt>
                <c:pt idx="575">
                  <c:v>-3.9214639109863492</c:v>
                </c:pt>
                <c:pt idx="576">
                  <c:v>-3.9337680466367098</c:v>
                </c:pt>
                <c:pt idx="577">
                  <c:v>-3.9460722084000479</c:v>
                </c:pt>
                <c:pt idx="578">
                  <c:v>-3.958376396275975</c:v>
                </c:pt>
                <c:pt idx="579">
                  <c:v>-3.970680610264103</c:v>
                </c:pt>
                <c:pt idx="580">
                  <c:v>-3.9829848503640437</c:v>
                </c:pt>
                <c:pt idx="581">
                  <c:v>-3.995289116575409</c:v>
                </c:pt>
                <c:pt idx="582">
                  <c:v>-4.0075934088978107</c:v>
                </c:pt>
                <c:pt idx="583">
                  <c:v>-4.0198977273308607</c:v>
                </c:pt>
                <c:pt idx="584">
                  <c:v>-4.0322020718741705</c:v>
                </c:pt>
                <c:pt idx="585">
                  <c:v>-4.0445064425273518</c:v>
                </c:pt>
                <c:pt idx="586">
                  <c:v>-4.0568108392900175</c:v>
                </c:pt>
                <c:pt idx="587">
                  <c:v>-4.0691152621617785</c:v>
                </c:pt>
                <c:pt idx="588">
                  <c:v>-4.0814197111422468</c:v>
                </c:pt>
                <c:pt idx="589">
                  <c:v>-4.0937241862310341</c:v>
                </c:pt>
                <c:pt idx="590">
                  <c:v>-4.1060286874277523</c:v>
                </c:pt>
                <c:pt idx="591">
                  <c:v>-4.1183332147320133</c:v>
                </c:pt>
                <c:pt idx="592">
                  <c:v>-4.130637768143429</c:v>
                </c:pt>
                <c:pt idx="593">
                  <c:v>-4.1429423476616121</c:v>
                </c:pt>
                <c:pt idx="594">
                  <c:v>-4.1552469532861736</c:v>
                </c:pt>
                <c:pt idx="595">
                  <c:v>-4.1675515850167253</c:v>
                </c:pt>
                <c:pt idx="596">
                  <c:v>-4.1798562428528792</c:v>
                </c:pt>
                <c:pt idx="597">
                  <c:v>-4.192160926794247</c:v>
                </c:pt>
                <c:pt idx="598">
                  <c:v>-4.2044656368404407</c:v>
                </c:pt>
                <c:pt idx="599">
                  <c:v>-4.2167703729910722</c:v>
                </c:pt>
                <c:pt idx="600">
                  <c:v>-4.2290751352457532</c:v>
                </c:pt>
                <c:pt idx="601">
                  <c:v>-4.2413799236040957</c:v>
                </c:pt>
                <c:pt idx="602">
                  <c:v>-4.2536847380657115</c:v>
                </c:pt>
                <c:pt idx="603">
                  <c:v>-4.2659895786302124</c:v>
                </c:pt>
                <c:pt idx="604">
                  <c:v>-4.2782944452972105</c:v>
                </c:pt>
                <c:pt idx="605">
                  <c:v>-4.2905993380663174</c:v>
                </c:pt>
                <c:pt idx="606">
                  <c:v>-4.3029042569371452</c:v>
                </c:pt>
                <c:pt idx="607">
                  <c:v>-4.3152092019093056</c:v>
                </c:pt>
                <c:pt idx="608">
                  <c:v>-4.3275141729824114</c:v>
                </c:pt>
                <c:pt idx="609">
                  <c:v>-4.3398191701560735</c:v>
                </c:pt>
                <c:pt idx="610">
                  <c:v>-4.352124193429904</c:v>
                </c:pt>
                <c:pt idx="611">
                  <c:v>-4.3644292428035154</c:v>
                </c:pt>
                <c:pt idx="612">
                  <c:v>-4.3767343182765188</c:v>
                </c:pt>
                <c:pt idx="613">
                  <c:v>-4.3890394198485261</c:v>
                </c:pt>
                <c:pt idx="614">
                  <c:v>-4.4013445475191499</c:v>
                </c:pt>
                <c:pt idx="615">
                  <c:v>-4.4136497012880014</c:v>
                </c:pt>
                <c:pt idx="616">
                  <c:v>-4.4259548811546932</c:v>
                </c:pt>
                <c:pt idx="617">
                  <c:v>-4.4382600871188362</c:v>
                </c:pt>
                <c:pt idx="618">
                  <c:v>-4.4505653191800434</c:v>
                </c:pt>
                <c:pt idx="619">
                  <c:v>-4.4628705773379265</c:v>
                </c:pt>
                <c:pt idx="620">
                  <c:v>-4.4751758615920973</c:v>
                </c:pt>
                <c:pt idx="621">
                  <c:v>-4.4874811719421679</c:v>
                </c:pt>
                <c:pt idx="622">
                  <c:v>-4.49978650838775</c:v>
                </c:pt>
                <c:pt idx="623">
                  <c:v>-4.5120918709284554</c:v>
                </c:pt>
                <c:pt idx="624">
                  <c:v>-4.5243972595638962</c:v>
                </c:pt>
                <c:pt idx="625">
                  <c:v>-4.536702674293684</c:v>
                </c:pt>
                <c:pt idx="626">
                  <c:v>-4.5490081151174309</c:v>
                </c:pt>
                <c:pt idx="627">
                  <c:v>-4.5613135820347495</c:v>
                </c:pt>
                <c:pt idx="628">
                  <c:v>-4.5736190750452508</c:v>
                </c:pt>
                <c:pt idx="629">
                  <c:v>-4.5859245941485476</c:v>
                </c:pt>
                <c:pt idx="630">
                  <c:v>-4.5982301393442517</c:v>
                </c:pt>
                <c:pt idx="631">
                  <c:v>-4.6105357106319742</c:v>
                </c:pt>
                <c:pt idx="632">
                  <c:v>-4.6228413080113278</c:v>
                </c:pt>
                <c:pt idx="633">
                  <c:v>-4.6351469314819242</c:v>
                </c:pt>
                <c:pt idx="634">
                  <c:v>-4.6474525810433756</c:v>
                </c:pt>
                <c:pt idx="635">
                  <c:v>-4.6597582566952944</c:v>
                </c:pt>
                <c:pt idx="636">
                  <c:v>-4.6720639584372918</c:v>
                </c:pt>
                <c:pt idx="637">
                  <c:v>-4.6843696862689796</c:v>
                </c:pt>
                <c:pt idx="638">
                  <c:v>-4.6966754401899706</c:v>
                </c:pt>
                <c:pt idx="639">
                  <c:v>-4.7089812201998766</c:v>
                </c:pt>
                <c:pt idx="640">
                  <c:v>-4.7212870262983095</c:v>
                </c:pt>
                <c:pt idx="641">
                  <c:v>-4.7335928584848812</c:v>
                </c:pt>
                <c:pt idx="642">
                  <c:v>-4.7458987167592035</c:v>
                </c:pt>
                <c:pt idx="643">
                  <c:v>-4.7582046011208883</c:v>
                </c:pt>
                <c:pt idx="644">
                  <c:v>-4.7705105115695483</c:v>
                </c:pt>
                <c:pt idx="645">
                  <c:v>-4.7828164481047946</c:v>
                </c:pt>
                <c:pt idx="646">
                  <c:v>-4.7951224107262398</c:v>
                </c:pt>
                <c:pt idx="647">
                  <c:v>-4.8074283994334959</c:v>
                </c:pt>
                <c:pt idx="648">
                  <c:v>-4.8197344142261747</c:v>
                </c:pt>
                <c:pt idx="649">
                  <c:v>-4.832040455103888</c:v>
                </c:pt>
                <c:pt idx="650">
                  <c:v>-4.8443465220662487</c:v>
                </c:pt>
                <c:pt idx="651">
                  <c:v>-4.8566526151128677</c:v>
                </c:pt>
                <c:pt idx="652">
                  <c:v>-4.8689587342433578</c:v>
                </c:pt>
                <c:pt idx="653">
                  <c:v>-4.8812648794573308</c:v>
                </c:pt>
                <c:pt idx="654">
                  <c:v>-4.8935710507543986</c:v>
                </c:pt>
                <c:pt idx="655">
                  <c:v>-4.905877248134173</c:v>
                </c:pt>
                <c:pt idx="656">
                  <c:v>-4.918183471596266</c:v>
                </c:pt>
                <c:pt idx="657">
                  <c:v>-4.9304897211402903</c:v>
                </c:pt>
                <c:pt idx="658">
                  <c:v>-4.9427959967658577</c:v>
                </c:pt>
                <c:pt idx="659">
                  <c:v>-4.9551022984725801</c:v>
                </c:pt>
                <c:pt idx="660">
                  <c:v>-4.9674086262600694</c:v>
                </c:pt>
                <c:pt idx="661">
                  <c:v>-4.9797149801279375</c:v>
                </c:pt>
                <c:pt idx="662">
                  <c:v>-4.992021360075797</c:v>
                </c:pt>
                <c:pt idx="663">
                  <c:v>-5.0043277661032599</c:v>
                </c:pt>
                <c:pt idx="664">
                  <c:v>-5.0166341982099381</c:v>
                </c:pt>
                <c:pt idx="665">
                  <c:v>-5.0289406563954433</c:v>
                </c:pt>
                <c:pt idx="666">
                  <c:v>-5.0412471406593875</c:v>
                </c:pt>
                <c:pt idx="667">
                  <c:v>-5.0535536510013834</c:v>
                </c:pt>
                <c:pt idx="668">
                  <c:v>-5.0658601874210429</c:v>
                </c:pt>
                <c:pt idx="669">
                  <c:v>-5.0781667499179779</c:v>
                </c:pt>
                <c:pt idx="670">
                  <c:v>-5.0904733384918002</c:v>
                </c:pt>
                <c:pt idx="671">
                  <c:v>-5.1027799531421225</c:v>
                </c:pt>
                <c:pt idx="672">
                  <c:v>-5.1150865938685568</c:v>
                </c:pt>
                <c:pt idx="673">
                  <c:v>-5.1273932606707149</c:v>
                </c:pt>
                <c:pt idx="674">
                  <c:v>-5.1396999535482086</c:v>
                </c:pt>
                <c:pt idx="675">
                  <c:v>-5.1520066725006508</c:v>
                </c:pt>
                <c:pt idx="676">
                  <c:v>-5.1643134175276524</c:v>
                </c:pt>
                <c:pt idx="677">
                  <c:v>-5.1766201886288261</c:v>
                </c:pt>
                <c:pt idx="678">
                  <c:v>-5.1889269858037848</c:v>
                </c:pt>
                <c:pt idx="679">
                  <c:v>-5.2012338090521393</c:v>
                </c:pt>
                <c:pt idx="680">
                  <c:v>-5.2135406583735024</c:v>
                </c:pt>
                <c:pt idx="681">
                  <c:v>-5.2258475337674861</c:v>
                </c:pt>
                <c:pt idx="682">
                  <c:v>-5.2381544352337022</c:v>
                </c:pt>
                <c:pt idx="683">
                  <c:v>-5.2504613627717633</c:v>
                </c:pt>
                <c:pt idx="684">
                  <c:v>-5.2627683163812815</c:v>
                </c:pt>
                <c:pt idx="685">
                  <c:v>-5.2750752960618685</c:v>
                </c:pt>
                <c:pt idx="686">
                  <c:v>-5.2873823018131363</c:v>
                </c:pt>
                <c:pt idx="687">
                  <c:v>-5.2996893336346975</c:v>
                </c:pt>
                <c:pt idx="688">
                  <c:v>-5.3119963915261641</c:v>
                </c:pt>
                <c:pt idx="689">
                  <c:v>-5.3243034754871479</c:v>
                </c:pt>
                <c:pt idx="690">
                  <c:v>-5.3366105855172608</c:v>
                </c:pt>
                <c:pt idx="691">
                  <c:v>-5.3489177216161155</c:v>
                </c:pt>
                <c:pt idx="692">
                  <c:v>-5.3612248837833238</c:v>
                </c:pt>
                <c:pt idx="693">
                  <c:v>-5.3735320720184987</c:v>
                </c:pt>
                <c:pt idx="694">
                  <c:v>-5.3858392863212519</c:v>
                </c:pt>
                <c:pt idx="695">
                  <c:v>-5.3981465266911952</c:v>
                </c:pt>
                <c:pt idx="696">
                  <c:v>-5.4104537931279406</c:v>
                </c:pt>
                <c:pt idx="697">
                  <c:v>-5.4227610856311008</c:v>
                </c:pt>
                <c:pt idx="698">
                  <c:v>-5.4350684042002877</c:v>
                </c:pt>
                <c:pt idx="699">
                  <c:v>-5.4473757488351131</c:v>
                </c:pt>
                <c:pt idx="700">
                  <c:v>-5.4596831195351889</c:v>
                </c:pt>
                <c:pt idx="701">
                  <c:v>-5.4719905163001279</c:v>
                </c:pt>
                <c:pt idx="702">
                  <c:v>-5.4842979391295428</c:v>
                </c:pt>
                <c:pt idx="703">
                  <c:v>-5.4966053880230445</c:v>
                </c:pt>
                <c:pt idx="704">
                  <c:v>-5.508912862980246</c:v>
                </c:pt>
                <c:pt idx="705">
                  <c:v>-5.5212203640007589</c:v>
                </c:pt>
                <c:pt idx="706">
                  <c:v>-5.5335278910841961</c:v>
                </c:pt>
                <c:pt idx="707">
                  <c:v>-5.5458354442301694</c:v>
                </c:pt>
                <c:pt idx="708">
                  <c:v>-5.5581430234382907</c:v>
                </c:pt>
                <c:pt idx="709">
                  <c:v>-5.5704506287081728</c:v>
                </c:pt>
                <c:pt idx="710">
                  <c:v>-5.5827582600394274</c:v>
                </c:pt>
                <c:pt idx="711">
                  <c:v>-5.5950659174316666</c:v>
                </c:pt>
                <c:pt idx="712">
                  <c:v>-5.607373600884503</c:v>
                </c:pt>
                <c:pt idx="713">
                  <c:v>-5.6196813103975485</c:v>
                </c:pt>
                <c:pt idx="714">
                  <c:v>-5.6319890459704149</c:v>
                </c:pt>
                <c:pt idx="715">
                  <c:v>-5.6442968076027151</c:v>
                </c:pt>
                <c:pt idx="716">
                  <c:v>-5.6566045952940618</c:v>
                </c:pt>
                <c:pt idx="717">
                  <c:v>-5.6689124090440659</c:v>
                </c:pt>
                <c:pt idx="718">
                  <c:v>-5.6812202488523402</c:v>
                </c:pt>
                <c:pt idx="719">
                  <c:v>-5.6935281147184966</c:v>
                </c:pt>
                <c:pt idx="720">
                  <c:v>-5.7058360066421479</c:v>
                </c:pt>
                <c:pt idx="721">
                  <c:v>-5.7181439246229058</c:v>
                </c:pt>
                <c:pt idx="722">
                  <c:v>-5.7304518686603831</c:v>
                </c:pt>
                <c:pt idx="723">
                  <c:v>-5.7427598387541918</c:v>
                </c:pt>
                <c:pt idx="724">
                  <c:v>-5.7550678349039437</c:v>
                </c:pt>
                <c:pt idx="725">
                  <c:v>-5.7673758571092506</c:v>
                </c:pt>
                <c:pt idx="726">
                  <c:v>-5.7796839053697262</c:v>
                </c:pt>
                <c:pt idx="727">
                  <c:v>-5.7919919796849815</c:v>
                </c:pt>
                <c:pt idx="728">
                  <c:v>-5.8043000800546292</c:v>
                </c:pt>
                <c:pt idx="729">
                  <c:v>-5.8166082064782811</c:v>
                </c:pt>
                <c:pt idx="730">
                  <c:v>-5.8289163589555502</c:v>
                </c:pt>
                <c:pt idx="731">
                  <c:v>-5.8412245374860481</c:v>
                </c:pt>
                <c:pt idx="732">
                  <c:v>-5.8535327420693877</c:v>
                </c:pt>
                <c:pt idx="733">
                  <c:v>-5.8658409727051808</c:v>
                </c:pt>
                <c:pt idx="734">
                  <c:v>-5.8781492293930393</c:v>
                </c:pt>
                <c:pt idx="735">
                  <c:v>-5.890457512132576</c:v>
                </c:pt>
                <c:pt idx="736">
                  <c:v>-5.9027658209234026</c:v>
                </c:pt>
                <c:pt idx="737">
                  <c:v>-5.9150741557651321</c:v>
                </c:pt>
                <c:pt idx="738">
                  <c:v>-5.9273825166573761</c:v>
                </c:pt>
                <c:pt idx="739">
                  <c:v>-5.9396909035997476</c:v>
                </c:pt>
                <c:pt idx="740">
                  <c:v>-5.9519993165918583</c:v>
                </c:pt>
                <c:pt idx="741">
                  <c:v>-5.9643077556333211</c:v>
                </c:pt>
                <c:pt idx="742">
                  <c:v>-5.9766162207237468</c:v>
                </c:pt>
                <c:pt idx="743">
                  <c:v>-5.9889247118627491</c:v>
                </c:pt>
                <c:pt idx="744">
                  <c:v>-6.0012332290499399</c:v>
                </c:pt>
                <c:pt idx="745">
                  <c:v>-6.0135417722849311</c:v>
                </c:pt>
                <c:pt idx="746">
                  <c:v>-6.0258503415673355</c:v>
                </c:pt>
                <c:pt idx="747">
                  <c:v>-6.0381589368967648</c:v>
                </c:pt>
                <c:pt idx="748">
                  <c:v>-6.0504675582728318</c:v>
                </c:pt>
                <c:pt idx="749">
                  <c:v>-6.0627762056951484</c:v>
                </c:pt>
                <c:pt idx="750">
                  <c:v>-6.0750848791633274</c:v>
                </c:pt>
                <c:pt idx="751">
                  <c:v>-6.0873935786769806</c:v>
                </c:pt>
                <c:pt idx="752">
                  <c:v>-6.0997023042357208</c:v>
                </c:pt>
                <c:pt idx="753">
                  <c:v>-6.1120110558391598</c:v>
                </c:pt>
                <c:pt idx="754">
                  <c:v>-6.1243198334869104</c:v>
                </c:pt>
                <c:pt idx="755">
                  <c:v>-6.1366286371785845</c:v>
                </c:pt>
                <c:pt idx="756">
                  <c:v>-6.1489374669137948</c:v>
                </c:pt>
                <c:pt idx="757">
                  <c:v>-6.1612463226921532</c:v>
                </c:pt>
                <c:pt idx="758">
                  <c:v>-6.1735552045132724</c:v>
                </c:pt>
                <c:pt idx="759">
                  <c:v>-6.1858641123767644</c:v>
                </c:pt>
                <c:pt idx="760">
                  <c:v>-6.1981730462822417</c:v>
                </c:pt>
                <c:pt idx="761">
                  <c:v>-6.2104820062293165</c:v>
                </c:pt>
                <c:pt idx="762">
                  <c:v>-6.2227909922176003</c:v>
                </c:pt>
                <c:pt idx="763">
                  <c:v>-6.2351000042467071</c:v>
                </c:pt>
                <c:pt idx="764">
                  <c:v>-6.2474090423162476</c:v>
                </c:pt>
                <c:pt idx="765">
                  <c:v>-6.2597181064258356</c:v>
                </c:pt>
                <c:pt idx="766">
                  <c:v>-6.2720271965750829</c:v>
                </c:pt>
                <c:pt idx="767">
                  <c:v>-6.2843363127636014</c:v>
                </c:pt>
                <c:pt idx="768">
                  <c:v>-6.2966454549910038</c:v>
                </c:pt>
                <c:pt idx="769">
                  <c:v>-6.308954623256902</c:v>
                </c:pt>
                <c:pt idx="770">
                  <c:v>-6.3212638175609088</c:v>
                </c:pt>
                <c:pt idx="771">
                  <c:v>-6.3335730379026369</c:v>
                </c:pt>
                <c:pt idx="772">
                  <c:v>-6.3458822842816982</c:v>
                </c:pt>
                <c:pt idx="773">
                  <c:v>-6.3581915566977054</c:v>
                </c:pt>
                <c:pt idx="774">
                  <c:v>-6.3705008551502704</c:v>
                </c:pt>
                <c:pt idx="775">
                  <c:v>-6.382810179639006</c:v>
                </c:pt>
                <c:pt idx="776">
                  <c:v>-6.395119530163524</c:v>
                </c:pt>
                <c:pt idx="777">
                  <c:v>-6.4074289067234371</c:v>
                </c:pt>
                <c:pt idx="778">
                  <c:v>-6.4197383093183573</c:v>
                </c:pt>
                <c:pt idx="779">
                  <c:v>-6.4320477379478973</c:v>
                </c:pt>
                <c:pt idx="780">
                  <c:v>-6.4443571926116698</c:v>
                </c:pt>
                <c:pt idx="781">
                  <c:v>-6.4566666733092868</c:v>
                </c:pt>
                <c:pt idx="782">
                  <c:v>-6.4689761800403609</c:v>
                </c:pt>
                <c:pt idx="783">
                  <c:v>-6.4812857128045041</c:v>
                </c:pt>
                <c:pt idx="784">
                  <c:v>-6.493595271601329</c:v>
                </c:pt>
                <c:pt idx="785">
                  <c:v>-6.5059048564304485</c:v>
                </c:pt>
                <c:pt idx="786">
                  <c:v>-6.5182144672914744</c:v>
                </c:pt>
                <c:pt idx="787">
                  <c:v>-6.5305241041840185</c:v>
                </c:pt>
                <c:pt idx="788">
                  <c:v>-6.5428337671076946</c:v>
                </c:pt>
                <c:pt idx="789">
                  <c:v>-6.5551434560621145</c:v>
                </c:pt>
                <c:pt idx="790">
                  <c:v>-6.56745317104689</c:v>
                </c:pt>
                <c:pt idx="791">
                  <c:v>-6.5797629120616339</c:v>
                </c:pt>
                <c:pt idx="792">
                  <c:v>-6.592072679105959</c:v>
                </c:pt>
                <c:pt idx="793">
                  <c:v>-6.604382472179477</c:v>
                </c:pt>
                <c:pt idx="794">
                  <c:v>-6.6166922912818009</c:v>
                </c:pt>
                <c:pt idx="795">
                  <c:v>-6.6290021364125433</c:v>
                </c:pt>
                <c:pt idx="796">
                  <c:v>-6.6413120075713161</c:v>
                </c:pt>
                <c:pt idx="797">
                  <c:v>-6.6536219047577321</c:v>
                </c:pt>
                <c:pt idx="798">
                  <c:v>-6.665931827971403</c:v>
                </c:pt>
                <c:pt idx="799">
                  <c:v>-6.6782417772119427</c:v>
                </c:pt>
                <c:pt idx="800">
                  <c:v>-6.6905517524789619</c:v>
                </c:pt>
                <c:pt idx="801">
                  <c:v>-6.7028617537720745</c:v>
                </c:pt>
                <c:pt idx="802">
                  <c:v>-6.7151717810908922</c:v>
                </c:pt>
                <c:pt idx="803">
                  <c:v>-6.7274818344350269</c:v>
                </c:pt>
                <c:pt idx="804">
                  <c:v>-6.7397919138040923</c:v>
                </c:pt>
                <c:pt idx="805">
                  <c:v>-6.7521020191977001</c:v>
                </c:pt>
                <c:pt idx="806">
                  <c:v>-6.7644121506154624</c:v>
                </c:pt>
                <c:pt idx="807">
                  <c:v>-6.7767223080569927</c:v>
                </c:pt>
                <c:pt idx="808">
                  <c:v>-6.7890324915219029</c:v>
                </c:pt>
                <c:pt idx="809">
                  <c:v>-6.8013427010098049</c:v>
                </c:pt>
                <c:pt idx="810">
                  <c:v>-6.8136529365203122</c:v>
                </c:pt>
                <c:pt idx="811">
                  <c:v>-6.8259631980530369</c:v>
                </c:pt>
                <c:pt idx="812">
                  <c:v>-6.8382734856075906</c:v>
                </c:pt>
                <c:pt idx="813">
                  <c:v>-6.8505837991835863</c:v>
                </c:pt>
                <c:pt idx="814">
                  <c:v>-6.8628941387806366</c:v>
                </c:pt>
                <c:pt idx="815">
                  <c:v>-6.8752045043983543</c:v>
                </c:pt>
                <c:pt idx="816">
                  <c:v>-6.8875148960363521</c:v>
                </c:pt>
                <c:pt idx="817">
                  <c:v>-6.899825313694242</c:v>
                </c:pt>
                <c:pt idx="818">
                  <c:v>-6.9121357573716358</c:v>
                </c:pt>
                <c:pt idx="819">
                  <c:v>-6.9244462270681471</c:v>
                </c:pt>
                <c:pt idx="820">
                  <c:v>-6.9367567227833877</c:v>
                </c:pt>
                <c:pt idx="821">
                  <c:v>-6.9490672445169706</c:v>
                </c:pt>
                <c:pt idx="822">
                  <c:v>-6.9613777922685074</c:v>
                </c:pt>
                <c:pt idx="823">
                  <c:v>-6.9736883660376119</c:v>
                </c:pt>
                <c:pt idx="824">
                  <c:v>-6.9859989658238959</c:v>
                </c:pt>
                <c:pt idx="825">
                  <c:v>-6.9983095916269722</c:v>
                </c:pt>
                <c:pt idx="826">
                  <c:v>-7.0106202434464526</c:v>
                </c:pt>
                <c:pt idx="827">
                  <c:v>-7.02293092128195</c:v>
                </c:pt>
                <c:pt idx="828">
                  <c:v>-7.0352416251330769</c:v>
                </c:pt>
                <c:pt idx="829">
                  <c:v>-7.0475523549994463</c:v>
                </c:pt>
                <c:pt idx="830">
                  <c:v>-7.05986311088067</c:v>
                </c:pt>
                <c:pt idx="831">
                  <c:v>-7.0721738927763607</c:v>
                </c:pt>
                <c:pt idx="832">
                  <c:v>-7.0844847006861311</c:v>
                </c:pt>
                <c:pt idx="833">
                  <c:v>-7.0967955346095932</c:v>
                </c:pt>
                <c:pt idx="834">
                  <c:v>-7.1091063945463606</c:v>
                </c:pt>
                <c:pt idx="835">
                  <c:v>-7.1214172804960452</c:v>
                </c:pt>
                <c:pt idx="836">
                  <c:v>-7.1337281924582596</c:v>
                </c:pt>
                <c:pt idx="837">
                  <c:v>-7.1460391304326158</c:v>
                </c:pt>
                <c:pt idx="838">
                  <c:v>-7.1583500944187275</c:v>
                </c:pt>
                <c:pt idx="839">
                  <c:v>-7.1706610844162064</c:v>
                </c:pt>
                <c:pt idx="840">
                  <c:v>-7.1829721004246645</c:v>
                </c:pt>
                <c:pt idx="841">
                  <c:v>-7.1952831424437154</c:v>
                </c:pt>
                <c:pt idx="842">
                  <c:v>-7.2075942104729709</c:v>
                </c:pt>
                <c:pt idx="843">
                  <c:v>-7.2199053045120447</c:v>
                </c:pt>
                <c:pt idx="844">
                  <c:v>-7.2322164245605487</c:v>
                </c:pt>
                <c:pt idx="845">
                  <c:v>-7.2445275706180947</c:v>
                </c:pt>
                <c:pt idx="846">
                  <c:v>-7.2568387426842964</c:v>
                </c:pt>
                <c:pt idx="847">
                  <c:v>-7.2691499407587656</c:v>
                </c:pt>
                <c:pt idx="848">
                  <c:v>-7.2814611648411152</c:v>
                </c:pt>
                <c:pt idx="849">
                  <c:v>-7.2937724149309577</c:v>
                </c:pt>
                <c:pt idx="850">
                  <c:v>-7.3060836910279061</c:v>
                </c:pt>
                <c:pt idx="851">
                  <c:v>-7.3183949931315722</c:v>
                </c:pt>
                <c:pt idx="852">
                  <c:v>-7.3307063212415686</c:v>
                </c:pt>
                <c:pt idx="853">
                  <c:v>-7.3430176753575083</c:v>
                </c:pt>
                <c:pt idx="854">
                  <c:v>-7.3553290554790038</c:v>
                </c:pt>
                <c:pt idx="855">
                  <c:v>-7.3676404616056681</c:v>
                </c:pt>
                <c:pt idx="856">
                  <c:v>-7.3799518937371138</c:v>
                </c:pt>
                <c:pt idx="857">
                  <c:v>-7.3922633518729528</c:v>
                </c:pt>
                <c:pt idx="858">
                  <c:v>-7.4045748360127979</c:v>
                </c:pt>
                <c:pt idx="859">
                  <c:v>-7.4168863461562617</c:v>
                </c:pt>
                <c:pt idx="860">
                  <c:v>-7.4291978823029572</c:v>
                </c:pt>
                <c:pt idx="861">
                  <c:v>-7.4415094444524961</c:v>
                </c:pt>
                <c:pt idx="862">
                  <c:v>-7.453821032604492</c:v>
                </c:pt>
                <c:pt idx="863">
                  <c:v>-7.4661326467585569</c:v>
                </c:pt>
                <c:pt idx="864">
                  <c:v>-7.4784442869143035</c:v>
                </c:pt>
                <c:pt idx="865">
                  <c:v>-7.4907559530713446</c:v>
                </c:pt>
                <c:pt idx="866">
                  <c:v>-7.5030676452292928</c:v>
                </c:pt>
                <c:pt idx="867">
                  <c:v>-7.515379363387761</c:v>
                </c:pt>
                <c:pt idx="868">
                  <c:v>-7.5276911075463611</c:v>
                </c:pt>
                <c:pt idx="869">
                  <c:v>-7.5400028777047066</c:v>
                </c:pt>
                <c:pt idx="870">
                  <c:v>-7.5523146738624094</c:v>
                </c:pt>
                <c:pt idx="871">
                  <c:v>-7.5646264960190823</c:v>
                </c:pt>
                <c:pt idx="872">
                  <c:v>-7.5769383441743381</c:v>
                </c:pt>
                <c:pt idx="873">
                  <c:v>-7.5892502183277895</c:v>
                </c:pt>
                <c:pt idx="874">
                  <c:v>-7.6015621184790483</c:v>
                </c:pt>
                <c:pt idx="875">
                  <c:v>-7.6138740446277282</c:v>
                </c:pt>
                <c:pt idx="876">
                  <c:v>-7.626185996773442</c:v>
                </c:pt>
                <c:pt idx="877">
                  <c:v>-7.6384979749158015</c:v>
                </c:pt>
                <c:pt idx="878">
                  <c:v>-7.6508099790544195</c:v>
                </c:pt>
                <c:pt idx="879">
                  <c:v>-7.6631220091889087</c:v>
                </c:pt>
                <c:pt idx="880">
                  <c:v>-7.6754340653188819</c:v>
                </c:pt>
                <c:pt idx="881">
                  <c:v>-7.6877461474439519</c:v>
                </c:pt>
                <c:pt idx="882">
                  <c:v>-7.7000582555637314</c:v>
                </c:pt>
                <c:pt idx="883">
                  <c:v>-7.7123703896778331</c:v>
                </c:pt>
                <c:pt idx="884">
                  <c:v>-7.7246825497858689</c:v>
                </c:pt>
                <c:pt idx="885">
                  <c:v>-7.7369947358874525</c:v>
                </c:pt>
                <c:pt idx="886">
                  <c:v>-7.7493069479821957</c:v>
                </c:pt>
                <c:pt idx="887">
                  <c:v>-7.7616191860697112</c:v>
                </c:pt>
                <c:pt idx="888">
                  <c:v>-7.7739314501496128</c:v>
                </c:pt>
                <c:pt idx="889">
                  <c:v>-7.7862437402215123</c:v>
                </c:pt>
                <c:pt idx="890">
                  <c:v>-7.7985560562850225</c:v>
                </c:pt>
                <c:pt idx="891">
                  <c:v>-7.810868398339756</c:v>
                </c:pt>
                <c:pt idx="892">
                  <c:v>-7.8231807663853257</c:v>
                </c:pt>
                <c:pt idx="893">
                  <c:v>-7.8354931604213442</c:v>
                </c:pt>
                <c:pt idx="894">
                  <c:v>-7.8478055804474236</c:v>
                </c:pt>
                <c:pt idx="895">
                  <c:v>-7.8601180264631774</c:v>
                </c:pt>
                <c:pt idx="896">
                  <c:v>-7.8724304984682183</c:v>
                </c:pt>
                <c:pt idx="897">
                  <c:v>-7.8847429964621591</c:v>
                </c:pt>
                <c:pt idx="898">
                  <c:v>-7.8970555204446118</c:v>
                </c:pt>
                <c:pt idx="899">
                  <c:v>-7.9093680704151899</c:v>
                </c:pt>
                <c:pt idx="900">
                  <c:v>-7.9216806463735052</c:v>
                </c:pt>
                <c:pt idx="901">
                  <c:v>-7.9339932483191715</c:v>
                </c:pt>
                <c:pt idx="902">
                  <c:v>-7.9463058762518006</c:v>
                </c:pt>
                <c:pt idx="903">
                  <c:v>-7.9586185301710053</c:v>
                </c:pt>
                <c:pt idx="904">
                  <c:v>-7.9709312100763992</c:v>
                </c:pt>
                <c:pt idx="905">
                  <c:v>-7.9832439159675941</c:v>
                </c:pt>
                <c:pt idx="906">
                  <c:v>-7.9955566478442028</c:v>
                </c:pt>
                <c:pt idx="907">
                  <c:v>-8.0078694057058382</c:v>
                </c:pt>
                <c:pt idx="908">
                  <c:v>-8.0201821895521128</c:v>
                </c:pt>
                <c:pt idx="909">
                  <c:v>-8.0324949993826404</c:v>
                </c:pt>
                <c:pt idx="910">
                  <c:v>-8.044807835197032</c:v>
                </c:pt>
                <c:pt idx="911">
                  <c:v>-8.0571206969949021</c:v>
                </c:pt>
                <c:pt idx="912">
                  <c:v>-8.0694335847758634</c:v>
                </c:pt>
                <c:pt idx="913">
                  <c:v>-8.0817464985395269</c:v>
                </c:pt>
                <c:pt idx="914">
                  <c:v>-8.0940594382855071</c:v>
                </c:pt>
                <c:pt idx="915">
                  <c:v>-8.1063724040134151</c:v>
                </c:pt>
                <c:pt idx="916">
                  <c:v>-8.1186853957228653</c:v>
                </c:pt>
                <c:pt idx="917">
                  <c:v>-8.1309984134134705</c:v>
                </c:pt>
                <c:pt idx="918">
                  <c:v>-8.1433114570848417</c:v>
                </c:pt>
                <c:pt idx="919">
                  <c:v>-8.1556245267365934</c:v>
                </c:pt>
                <c:pt idx="920">
                  <c:v>-8.1679376223683366</c:v>
                </c:pt>
                <c:pt idx="921">
                  <c:v>-8.1802507439796859</c:v>
                </c:pt>
                <c:pt idx="922">
                  <c:v>-8.1925638915702539</c:v>
                </c:pt>
                <c:pt idx="923">
                  <c:v>-8.2048770651396516</c:v>
                </c:pt>
                <c:pt idx="924">
                  <c:v>-8.2171902646874937</c:v>
                </c:pt>
                <c:pt idx="925">
                  <c:v>-8.2295034902133928</c:v>
                </c:pt>
                <c:pt idx="926">
                  <c:v>-8.2418167417169599</c:v>
                </c:pt>
                <c:pt idx="927">
                  <c:v>-8.2541300191978095</c:v>
                </c:pt>
                <c:pt idx="928">
                  <c:v>-8.2664433226555545</c:v>
                </c:pt>
                <c:pt idx="929">
                  <c:v>-8.2787566520898057</c:v>
                </c:pt>
                <c:pt idx="930">
                  <c:v>-8.2910700075001778</c:v>
                </c:pt>
                <c:pt idx="931">
                  <c:v>-8.3033833888862834</c:v>
                </c:pt>
                <c:pt idx="932">
                  <c:v>-8.3156967962477353</c:v>
                </c:pt>
                <c:pt idx="933">
                  <c:v>-8.3280102295841463</c:v>
                </c:pt>
                <c:pt idx="934">
                  <c:v>-8.3403236888951291</c:v>
                </c:pt>
                <c:pt idx="935">
                  <c:v>-8.3526371741802947</c:v>
                </c:pt>
                <c:pt idx="936">
                  <c:v>-8.3649506854392577</c:v>
                </c:pt>
                <c:pt idx="937">
                  <c:v>-8.3772642226716307</c:v>
                </c:pt>
                <c:pt idx="938">
                  <c:v>-8.3895777858770266</c:v>
                </c:pt>
                <c:pt idx="939">
                  <c:v>-8.4018913750550581</c:v>
                </c:pt>
                <c:pt idx="940">
                  <c:v>-8.4142049902053397</c:v>
                </c:pt>
                <c:pt idx="941">
                  <c:v>-8.4265186313274825</c:v>
                </c:pt>
                <c:pt idx="942">
                  <c:v>-8.4388322984210991</c:v>
                </c:pt>
                <c:pt idx="943">
                  <c:v>-8.4511459914858023</c:v>
                </c:pt>
                <c:pt idx="944">
                  <c:v>-8.4634597105212048</c:v>
                </c:pt>
                <c:pt idx="945">
                  <c:v>-8.4757734555269213</c:v>
                </c:pt>
                <c:pt idx="946">
                  <c:v>-8.4880872265025626</c:v>
                </c:pt>
                <c:pt idx="947">
                  <c:v>-8.5004010234477434</c:v>
                </c:pt>
                <c:pt idx="948">
                  <c:v>-8.5127148463620745</c:v>
                </c:pt>
                <c:pt idx="949">
                  <c:v>-8.5250286952451706</c:v>
                </c:pt>
                <c:pt idx="950">
                  <c:v>-8.5373425700966425</c:v>
                </c:pt>
                <c:pt idx="951">
                  <c:v>-8.5496564709161049</c:v>
                </c:pt>
                <c:pt idx="952">
                  <c:v>-8.5619703977031705</c:v>
                </c:pt>
                <c:pt idx="953">
                  <c:v>-8.5742843504574502</c:v>
                </c:pt>
                <c:pt idx="954">
                  <c:v>-8.5865983291785586</c:v>
                </c:pt>
                <c:pt idx="955">
                  <c:v>-8.5989123338661084</c:v>
                </c:pt>
                <c:pt idx="956">
                  <c:v>-8.6112263645197125</c:v>
                </c:pt>
                <c:pt idx="957">
                  <c:v>-8.6235404211389834</c:v>
                </c:pt>
                <c:pt idx="958">
                  <c:v>-8.6358545037235341</c:v>
                </c:pt>
                <c:pt idx="959">
                  <c:v>-8.6481686122729773</c:v>
                </c:pt>
                <c:pt idx="960">
                  <c:v>-8.6604827467869274</c:v>
                </c:pt>
                <c:pt idx="961">
                  <c:v>-8.6727969072649955</c:v>
                </c:pt>
                <c:pt idx="962">
                  <c:v>-8.6851110937067943</c:v>
                </c:pt>
                <c:pt idx="963">
                  <c:v>-8.6974253061119384</c:v>
                </c:pt>
                <c:pt idx="964">
                  <c:v>-8.7097395444800387</c:v>
                </c:pt>
                <c:pt idx="965">
                  <c:v>-8.7220538088107098</c:v>
                </c:pt>
                <c:pt idx="966">
                  <c:v>-8.7343680991035644</c:v>
                </c:pt>
                <c:pt idx="967">
                  <c:v>-8.7466824153582134</c:v>
                </c:pt>
                <c:pt idx="968">
                  <c:v>-8.7589967575742715</c:v>
                </c:pt>
                <c:pt idx="969">
                  <c:v>-8.7713111257513514</c:v>
                </c:pt>
                <c:pt idx="970">
                  <c:v>-8.7836255198890658</c:v>
                </c:pt>
                <c:pt idx="971">
                  <c:v>-8.7959399399870275</c:v>
                </c:pt>
                <c:pt idx="972">
                  <c:v>-8.8082543860448492</c:v>
                </c:pt>
                <c:pt idx="973">
                  <c:v>-8.8205688580621455</c:v>
                </c:pt>
                <c:pt idx="974">
                  <c:v>-8.8328833560385274</c:v>
                </c:pt>
                <c:pt idx="975">
                  <c:v>-8.8451978799736093</c:v>
                </c:pt>
                <c:pt idx="976">
                  <c:v>-8.8575124298670023</c:v>
                </c:pt>
                <c:pt idx="977">
                  <c:v>-8.8698270057183208</c:v>
                </c:pt>
                <c:pt idx="978">
                  <c:v>-8.8821416075271777</c:v>
                </c:pt>
                <c:pt idx="979">
                  <c:v>-8.8944562352931857</c:v>
                </c:pt>
                <c:pt idx="980">
                  <c:v>-8.9067708890159576</c:v>
                </c:pt>
                <c:pt idx="981">
                  <c:v>-8.919085568695106</c:v>
                </c:pt>
                <c:pt idx="982">
                  <c:v>-8.9314002743302439</c:v>
                </c:pt>
                <c:pt idx="983">
                  <c:v>-8.9437150059209838</c:v>
                </c:pt>
                <c:pt idx="984">
                  <c:v>-8.9560297634669404</c:v>
                </c:pt>
                <c:pt idx="985">
                  <c:v>-8.9683445469677245</c:v>
                </c:pt>
                <c:pt idx="986">
                  <c:v>-8.9806593564229509</c:v>
                </c:pt>
                <c:pt idx="987">
                  <c:v>-8.9929741918322321</c:v>
                </c:pt>
                <c:pt idx="988">
                  <c:v>-9.005289053195181</c:v>
                </c:pt>
                <c:pt idx="989">
                  <c:v>-9.0176039405114103</c:v>
                </c:pt>
                <c:pt idx="990">
                  <c:v>-9.0299188537805328</c:v>
                </c:pt>
                <c:pt idx="991">
                  <c:v>-9.0422337930021612</c:v>
                </c:pt>
                <c:pt idx="992">
                  <c:v>-9.0545487581759083</c:v>
                </c:pt>
                <c:pt idx="993">
                  <c:v>-9.0668637493013886</c:v>
                </c:pt>
                <c:pt idx="994">
                  <c:v>-9.0791787663782131</c:v>
                </c:pt>
                <c:pt idx="995">
                  <c:v>-9.0914938094059963</c:v>
                </c:pt>
                <c:pt idx="996">
                  <c:v>-9.1038088783843509</c:v>
                </c:pt>
                <c:pt idx="997">
                  <c:v>-9.1161239733128898</c:v>
                </c:pt>
                <c:pt idx="998">
                  <c:v>-9.1284390941912257</c:v>
                </c:pt>
                <c:pt idx="999">
                  <c:v>-9.1407542410189713</c:v>
                </c:pt>
                <c:pt idx="1000">
                  <c:v>-9.1530694137957411</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33.900100000000215</c:v>
                </c:pt>
                <c:pt idx="521">
                  <c:v>33.900200000000218</c:v>
                </c:pt>
                <c:pt idx="522">
                  <c:v>33.900300000000222</c:v>
                </c:pt>
                <c:pt idx="523">
                  <c:v>33.900400000000225</c:v>
                </c:pt>
                <c:pt idx="524">
                  <c:v>33.900500000000228</c:v>
                </c:pt>
                <c:pt idx="525">
                  <c:v>33.900600000000232</c:v>
                </c:pt>
                <c:pt idx="526">
                  <c:v>33.900700000000235</c:v>
                </c:pt>
                <c:pt idx="527">
                  <c:v>33.900800000000238</c:v>
                </c:pt>
                <c:pt idx="528">
                  <c:v>33.900900000000242</c:v>
                </c:pt>
                <c:pt idx="529">
                  <c:v>33.901000000000245</c:v>
                </c:pt>
                <c:pt idx="530">
                  <c:v>33.901100000000248</c:v>
                </c:pt>
                <c:pt idx="531">
                  <c:v>33.901200000000252</c:v>
                </c:pt>
                <c:pt idx="532">
                  <c:v>33.901300000000255</c:v>
                </c:pt>
                <c:pt idx="533">
                  <c:v>33.901400000000258</c:v>
                </c:pt>
                <c:pt idx="534">
                  <c:v>33.901500000000262</c:v>
                </c:pt>
                <c:pt idx="535">
                  <c:v>33.901600000000265</c:v>
                </c:pt>
                <c:pt idx="536">
                  <c:v>33.901700000000268</c:v>
                </c:pt>
                <c:pt idx="537">
                  <c:v>33.901800000000271</c:v>
                </c:pt>
                <c:pt idx="538">
                  <c:v>33.901900000000275</c:v>
                </c:pt>
                <c:pt idx="539">
                  <c:v>33.902000000000278</c:v>
                </c:pt>
                <c:pt idx="540">
                  <c:v>33.902100000000281</c:v>
                </c:pt>
                <c:pt idx="541">
                  <c:v>33.902200000000285</c:v>
                </c:pt>
                <c:pt idx="542">
                  <c:v>33.902300000000288</c:v>
                </c:pt>
                <c:pt idx="543">
                  <c:v>33.902400000000291</c:v>
                </c:pt>
                <c:pt idx="544">
                  <c:v>33.902500000000295</c:v>
                </c:pt>
                <c:pt idx="545">
                  <c:v>33.902600000000298</c:v>
                </c:pt>
                <c:pt idx="546">
                  <c:v>33.902700000000301</c:v>
                </c:pt>
                <c:pt idx="547">
                  <c:v>33.902800000000305</c:v>
                </c:pt>
                <c:pt idx="548">
                  <c:v>33.902900000000308</c:v>
                </c:pt>
                <c:pt idx="549">
                  <c:v>33.903000000000311</c:v>
                </c:pt>
                <c:pt idx="550">
                  <c:v>33.903100000000315</c:v>
                </c:pt>
                <c:pt idx="551">
                  <c:v>33.903200000000318</c:v>
                </c:pt>
                <c:pt idx="552">
                  <c:v>33.903300000000321</c:v>
                </c:pt>
                <c:pt idx="553">
                  <c:v>33.903400000000325</c:v>
                </c:pt>
                <c:pt idx="554">
                  <c:v>33.903500000000328</c:v>
                </c:pt>
                <c:pt idx="555">
                  <c:v>33.903600000000331</c:v>
                </c:pt>
                <c:pt idx="556">
                  <c:v>33.903700000000335</c:v>
                </c:pt>
                <c:pt idx="557">
                  <c:v>33.903800000000338</c:v>
                </c:pt>
                <c:pt idx="558">
                  <c:v>33.903900000000341</c:v>
                </c:pt>
                <c:pt idx="559">
                  <c:v>33.904000000000345</c:v>
                </c:pt>
                <c:pt idx="560">
                  <c:v>33.904100000000348</c:v>
                </c:pt>
                <c:pt idx="561">
                  <c:v>33.904200000000351</c:v>
                </c:pt>
                <c:pt idx="562">
                  <c:v>33.904300000000354</c:v>
                </c:pt>
                <c:pt idx="563">
                  <c:v>33.904400000000358</c:v>
                </c:pt>
                <c:pt idx="564">
                  <c:v>33.904500000000361</c:v>
                </c:pt>
                <c:pt idx="565">
                  <c:v>33.904600000000364</c:v>
                </c:pt>
                <c:pt idx="566">
                  <c:v>33.904700000000368</c:v>
                </c:pt>
                <c:pt idx="567">
                  <c:v>33.904800000000371</c:v>
                </c:pt>
                <c:pt idx="568">
                  <c:v>33.904900000000374</c:v>
                </c:pt>
                <c:pt idx="569">
                  <c:v>33.905000000000378</c:v>
                </c:pt>
                <c:pt idx="570">
                  <c:v>33.905100000000381</c:v>
                </c:pt>
                <c:pt idx="571">
                  <c:v>33.905200000000384</c:v>
                </c:pt>
                <c:pt idx="572">
                  <c:v>33.905300000000388</c:v>
                </c:pt>
                <c:pt idx="573">
                  <c:v>33.905400000000391</c:v>
                </c:pt>
                <c:pt idx="574">
                  <c:v>33.905500000000394</c:v>
                </c:pt>
                <c:pt idx="575">
                  <c:v>33.905600000000398</c:v>
                </c:pt>
                <c:pt idx="576">
                  <c:v>33.905700000000401</c:v>
                </c:pt>
                <c:pt idx="577">
                  <c:v>33.905800000000404</c:v>
                </c:pt>
                <c:pt idx="578">
                  <c:v>33.905900000000408</c:v>
                </c:pt>
                <c:pt idx="579">
                  <c:v>33.906000000000411</c:v>
                </c:pt>
                <c:pt idx="580">
                  <c:v>33.906100000000414</c:v>
                </c:pt>
                <c:pt idx="581">
                  <c:v>33.906200000000418</c:v>
                </c:pt>
                <c:pt idx="582">
                  <c:v>33.906300000000421</c:v>
                </c:pt>
                <c:pt idx="583">
                  <c:v>33.906400000000424</c:v>
                </c:pt>
                <c:pt idx="584">
                  <c:v>33.906500000000428</c:v>
                </c:pt>
                <c:pt idx="585">
                  <c:v>33.906600000000431</c:v>
                </c:pt>
                <c:pt idx="586">
                  <c:v>33.906700000000434</c:v>
                </c:pt>
                <c:pt idx="587">
                  <c:v>33.906800000000437</c:v>
                </c:pt>
                <c:pt idx="588">
                  <c:v>33.906900000000441</c:v>
                </c:pt>
                <c:pt idx="589">
                  <c:v>33.907000000000444</c:v>
                </c:pt>
                <c:pt idx="590">
                  <c:v>33.907100000000447</c:v>
                </c:pt>
                <c:pt idx="591">
                  <c:v>33.907200000000451</c:v>
                </c:pt>
                <c:pt idx="592">
                  <c:v>33.907300000000454</c:v>
                </c:pt>
                <c:pt idx="593">
                  <c:v>33.907400000000457</c:v>
                </c:pt>
                <c:pt idx="594">
                  <c:v>33.907500000000461</c:v>
                </c:pt>
                <c:pt idx="595">
                  <c:v>33.907600000000464</c:v>
                </c:pt>
                <c:pt idx="596">
                  <c:v>33.907700000000467</c:v>
                </c:pt>
                <c:pt idx="597">
                  <c:v>33.907800000000471</c:v>
                </c:pt>
                <c:pt idx="598">
                  <c:v>33.907900000000474</c:v>
                </c:pt>
                <c:pt idx="599">
                  <c:v>33.908000000000477</c:v>
                </c:pt>
                <c:pt idx="600">
                  <c:v>33.908100000000481</c:v>
                </c:pt>
                <c:pt idx="601">
                  <c:v>33.908200000000484</c:v>
                </c:pt>
                <c:pt idx="602">
                  <c:v>33.908300000000487</c:v>
                </c:pt>
                <c:pt idx="603">
                  <c:v>33.908400000000491</c:v>
                </c:pt>
                <c:pt idx="604">
                  <c:v>33.908500000000494</c:v>
                </c:pt>
                <c:pt idx="605">
                  <c:v>33.908600000000497</c:v>
                </c:pt>
                <c:pt idx="606">
                  <c:v>33.908700000000501</c:v>
                </c:pt>
                <c:pt idx="607">
                  <c:v>33.908800000000504</c:v>
                </c:pt>
                <c:pt idx="608">
                  <c:v>33.908900000000507</c:v>
                </c:pt>
                <c:pt idx="609">
                  <c:v>33.909000000000511</c:v>
                </c:pt>
                <c:pt idx="610">
                  <c:v>33.909100000000514</c:v>
                </c:pt>
                <c:pt idx="611">
                  <c:v>33.909200000000517</c:v>
                </c:pt>
                <c:pt idx="612">
                  <c:v>33.90930000000052</c:v>
                </c:pt>
                <c:pt idx="613">
                  <c:v>33.909400000000524</c:v>
                </c:pt>
                <c:pt idx="614">
                  <c:v>33.909500000000527</c:v>
                </c:pt>
                <c:pt idx="615">
                  <c:v>33.90960000000053</c:v>
                </c:pt>
                <c:pt idx="616">
                  <c:v>33.909700000000534</c:v>
                </c:pt>
                <c:pt idx="617">
                  <c:v>33.909800000000537</c:v>
                </c:pt>
                <c:pt idx="618">
                  <c:v>33.90990000000054</c:v>
                </c:pt>
                <c:pt idx="619">
                  <c:v>33.910000000000544</c:v>
                </c:pt>
                <c:pt idx="620">
                  <c:v>33.910100000000547</c:v>
                </c:pt>
                <c:pt idx="621">
                  <c:v>33.91020000000055</c:v>
                </c:pt>
                <c:pt idx="622">
                  <c:v>33.910300000000554</c:v>
                </c:pt>
                <c:pt idx="623">
                  <c:v>33.910400000000557</c:v>
                </c:pt>
                <c:pt idx="624">
                  <c:v>33.91050000000056</c:v>
                </c:pt>
                <c:pt idx="625">
                  <c:v>33.910600000000564</c:v>
                </c:pt>
                <c:pt idx="626">
                  <c:v>33.910700000000567</c:v>
                </c:pt>
                <c:pt idx="627">
                  <c:v>33.91080000000057</c:v>
                </c:pt>
                <c:pt idx="628">
                  <c:v>33.910900000000574</c:v>
                </c:pt>
                <c:pt idx="629">
                  <c:v>33.911000000000577</c:v>
                </c:pt>
                <c:pt idx="630">
                  <c:v>33.91110000000058</c:v>
                </c:pt>
                <c:pt idx="631">
                  <c:v>33.911200000000584</c:v>
                </c:pt>
                <c:pt idx="632">
                  <c:v>33.911300000000587</c:v>
                </c:pt>
                <c:pt idx="633">
                  <c:v>33.91140000000059</c:v>
                </c:pt>
                <c:pt idx="634">
                  <c:v>33.911500000000594</c:v>
                </c:pt>
                <c:pt idx="635">
                  <c:v>33.911600000000597</c:v>
                </c:pt>
                <c:pt idx="636">
                  <c:v>33.9117000000006</c:v>
                </c:pt>
                <c:pt idx="637">
                  <c:v>33.911800000000603</c:v>
                </c:pt>
                <c:pt idx="638">
                  <c:v>33.911900000000607</c:v>
                </c:pt>
                <c:pt idx="639">
                  <c:v>33.91200000000061</c:v>
                </c:pt>
                <c:pt idx="640">
                  <c:v>33.912100000000613</c:v>
                </c:pt>
                <c:pt idx="641">
                  <c:v>33.912200000000617</c:v>
                </c:pt>
                <c:pt idx="642">
                  <c:v>33.91230000000062</c:v>
                </c:pt>
                <c:pt idx="643">
                  <c:v>33.912400000000623</c:v>
                </c:pt>
                <c:pt idx="644">
                  <c:v>33.912500000000627</c:v>
                </c:pt>
                <c:pt idx="645">
                  <c:v>33.91260000000063</c:v>
                </c:pt>
                <c:pt idx="646">
                  <c:v>33.912700000000633</c:v>
                </c:pt>
                <c:pt idx="647">
                  <c:v>33.912800000000637</c:v>
                </c:pt>
                <c:pt idx="648">
                  <c:v>33.91290000000064</c:v>
                </c:pt>
                <c:pt idx="649">
                  <c:v>33.913000000000643</c:v>
                </c:pt>
                <c:pt idx="650">
                  <c:v>33.913100000000647</c:v>
                </c:pt>
                <c:pt idx="651">
                  <c:v>33.91320000000065</c:v>
                </c:pt>
                <c:pt idx="652">
                  <c:v>33.913300000000653</c:v>
                </c:pt>
                <c:pt idx="653">
                  <c:v>33.913400000000657</c:v>
                </c:pt>
                <c:pt idx="654">
                  <c:v>33.91350000000066</c:v>
                </c:pt>
                <c:pt idx="655">
                  <c:v>33.913600000000663</c:v>
                </c:pt>
                <c:pt idx="656">
                  <c:v>33.913700000000667</c:v>
                </c:pt>
                <c:pt idx="657">
                  <c:v>33.91380000000067</c:v>
                </c:pt>
                <c:pt idx="658">
                  <c:v>33.913900000000673</c:v>
                </c:pt>
                <c:pt idx="659">
                  <c:v>33.914000000000676</c:v>
                </c:pt>
                <c:pt idx="660">
                  <c:v>33.91410000000068</c:v>
                </c:pt>
                <c:pt idx="661">
                  <c:v>33.914200000000683</c:v>
                </c:pt>
                <c:pt idx="662">
                  <c:v>33.914300000000686</c:v>
                </c:pt>
                <c:pt idx="663">
                  <c:v>33.91440000000069</c:v>
                </c:pt>
                <c:pt idx="664">
                  <c:v>33.914500000000693</c:v>
                </c:pt>
                <c:pt idx="665">
                  <c:v>33.914600000000696</c:v>
                </c:pt>
                <c:pt idx="666">
                  <c:v>33.9147000000007</c:v>
                </c:pt>
                <c:pt idx="667">
                  <c:v>33.914800000000703</c:v>
                </c:pt>
                <c:pt idx="668">
                  <c:v>33.914900000000706</c:v>
                </c:pt>
                <c:pt idx="669">
                  <c:v>33.91500000000071</c:v>
                </c:pt>
                <c:pt idx="670">
                  <c:v>33.915100000000713</c:v>
                </c:pt>
                <c:pt idx="671">
                  <c:v>33.915200000000716</c:v>
                </c:pt>
                <c:pt idx="672">
                  <c:v>33.91530000000072</c:v>
                </c:pt>
                <c:pt idx="673">
                  <c:v>33.915400000000723</c:v>
                </c:pt>
                <c:pt idx="674">
                  <c:v>33.915500000000726</c:v>
                </c:pt>
                <c:pt idx="675">
                  <c:v>33.91560000000073</c:v>
                </c:pt>
                <c:pt idx="676">
                  <c:v>33.915700000000733</c:v>
                </c:pt>
                <c:pt idx="677">
                  <c:v>33.915800000000736</c:v>
                </c:pt>
                <c:pt idx="678">
                  <c:v>33.91590000000074</c:v>
                </c:pt>
                <c:pt idx="679">
                  <c:v>33.916000000000743</c:v>
                </c:pt>
                <c:pt idx="680">
                  <c:v>33.916100000000746</c:v>
                </c:pt>
                <c:pt idx="681">
                  <c:v>33.91620000000075</c:v>
                </c:pt>
                <c:pt idx="682">
                  <c:v>33.916300000000753</c:v>
                </c:pt>
                <c:pt idx="683">
                  <c:v>33.916400000000756</c:v>
                </c:pt>
                <c:pt idx="684">
                  <c:v>33.916500000000759</c:v>
                </c:pt>
                <c:pt idx="685">
                  <c:v>33.916600000000763</c:v>
                </c:pt>
                <c:pt idx="686">
                  <c:v>33.916700000000766</c:v>
                </c:pt>
                <c:pt idx="687">
                  <c:v>33.916800000000769</c:v>
                </c:pt>
                <c:pt idx="688">
                  <c:v>33.916900000000773</c:v>
                </c:pt>
                <c:pt idx="689">
                  <c:v>33.917000000000776</c:v>
                </c:pt>
                <c:pt idx="690">
                  <c:v>33.917100000000779</c:v>
                </c:pt>
                <c:pt idx="691">
                  <c:v>33.917200000000783</c:v>
                </c:pt>
                <c:pt idx="692">
                  <c:v>33.917300000000786</c:v>
                </c:pt>
                <c:pt idx="693">
                  <c:v>33.917400000000789</c:v>
                </c:pt>
                <c:pt idx="694">
                  <c:v>33.917500000000793</c:v>
                </c:pt>
                <c:pt idx="695">
                  <c:v>33.917600000000796</c:v>
                </c:pt>
                <c:pt idx="696">
                  <c:v>33.917700000000799</c:v>
                </c:pt>
                <c:pt idx="697">
                  <c:v>33.917800000000803</c:v>
                </c:pt>
                <c:pt idx="698">
                  <c:v>33.917900000000806</c:v>
                </c:pt>
                <c:pt idx="699">
                  <c:v>33.918000000000809</c:v>
                </c:pt>
                <c:pt idx="700">
                  <c:v>33.918100000000813</c:v>
                </c:pt>
                <c:pt idx="701">
                  <c:v>33.918200000000816</c:v>
                </c:pt>
                <c:pt idx="702">
                  <c:v>33.918300000000819</c:v>
                </c:pt>
                <c:pt idx="703">
                  <c:v>33.918400000000823</c:v>
                </c:pt>
                <c:pt idx="704">
                  <c:v>33.918500000000826</c:v>
                </c:pt>
                <c:pt idx="705">
                  <c:v>33.918600000000829</c:v>
                </c:pt>
                <c:pt idx="706">
                  <c:v>33.918700000000833</c:v>
                </c:pt>
                <c:pt idx="707">
                  <c:v>33.918800000000836</c:v>
                </c:pt>
                <c:pt idx="708">
                  <c:v>33.918900000000839</c:v>
                </c:pt>
                <c:pt idx="709">
                  <c:v>33.919000000000842</c:v>
                </c:pt>
                <c:pt idx="710">
                  <c:v>33.919100000000846</c:v>
                </c:pt>
                <c:pt idx="711">
                  <c:v>33.919200000000849</c:v>
                </c:pt>
                <c:pt idx="712">
                  <c:v>33.919300000000852</c:v>
                </c:pt>
                <c:pt idx="713">
                  <c:v>33.919400000000856</c:v>
                </c:pt>
                <c:pt idx="714">
                  <c:v>33.919500000000859</c:v>
                </c:pt>
                <c:pt idx="715">
                  <c:v>33.919600000000862</c:v>
                </c:pt>
                <c:pt idx="716">
                  <c:v>33.919700000000866</c:v>
                </c:pt>
                <c:pt idx="717">
                  <c:v>33.919800000000869</c:v>
                </c:pt>
                <c:pt idx="718">
                  <c:v>33.919900000000872</c:v>
                </c:pt>
                <c:pt idx="719">
                  <c:v>33.920000000000876</c:v>
                </c:pt>
                <c:pt idx="720">
                  <c:v>33.920100000000879</c:v>
                </c:pt>
                <c:pt idx="721">
                  <c:v>33.920200000000882</c:v>
                </c:pt>
                <c:pt idx="722">
                  <c:v>33.920300000000886</c:v>
                </c:pt>
                <c:pt idx="723">
                  <c:v>33.920400000000889</c:v>
                </c:pt>
                <c:pt idx="724">
                  <c:v>33.920500000000892</c:v>
                </c:pt>
                <c:pt idx="725">
                  <c:v>33.920600000000896</c:v>
                </c:pt>
                <c:pt idx="726">
                  <c:v>33.920700000000899</c:v>
                </c:pt>
                <c:pt idx="727">
                  <c:v>33.920800000000902</c:v>
                </c:pt>
                <c:pt idx="728">
                  <c:v>33.920900000000906</c:v>
                </c:pt>
                <c:pt idx="729">
                  <c:v>33.921000000000909</c:v>
                </c:pt>
                <c:pt idx="730">
                  <c:v>33.921100000000912</c:v>
                </c:pt>
                <c:pt idx="731">
                  <c:v>33.921200000000916</c:v>
                </c:pt>
                <c:pt idx="732">
                  <c:v>33.921300000000919</c:v>
                </c:pt>
                <c:pt idx="733">
                  <c:v>33.921400000000922</c:v>
                </c:pt>
                <c:pt idx="734">
                  <c:v>33.921500000000925</c:v>
                </c:pt>
                <c:pt idx="735">
                  <c:v>33.921600000000929</c:v>
                </c:pt>
                <c:pt idx="736">
                  <c:v>33.921700000000932</c:v>
                </c:pt>
                <c:pt idx="737">
                  <c:v>33.921800000000935</c:v>
                </c:pt>
                <c:pt idx="738">
                  <c:v>33.921900000000939</c:v>
                </c:pt>
                <c:pt idx="739">
                  <c:v>33.922000000000942</c:v>
                </c:pt>
                <c:pt idx="740">
                  <c:v>33.922100000000945</c:v>
                </c:pt>
                <c:pt idx="741">
                  <c:v>33.922200000000949</c:v>
                </c:pt>
                <c:pt idx="742">
                  <c:v>33.922300000000952</c:v>
                </c:pt>
                <c:pt idx="743">
                  <c:v>33.922400000000955</c:v>
                </c:pt>
                <c:pt idx="744">
                  <c:v>33.922500000000959</c:v>
                </c:pt>
                <c:pt idx="745">
                  <c:v>33.922600000000962</c:v>
                </c:pt>
                <c:pt idx="746">
                  <c:v>33.922700000000965</c:v>
                </c:pt>
                <c:pt idx="747">
                  <c:v>33.922800000000969</c:v>
                </c:pt>
                <c:pt idx="748">
                  <c:v>33.922900000000972</c:v>
                </c:pt>
                <c:pt idx="749">
                  <c:v>33.923000000000975</c:v>
                </c:pt>
                <c:pt idx="750">
                  <c:v>33.923100000000979</c:v>
                </c:pt>
                <c:pt idx="751">
                  <c:v>33.923200000000982</c:v>
                </c:pt>
                <c:pt idx="752">
                  <c:v>33.923300000000985</c:v>
                </c:pt>
                <c:pt idx="753">
                  <c:v>33.923400000000989</c:v>
                </c:pt>
                <c:pt idx="754">
                  <c:v>33.923500000000992</c:v>
                </c:pt>
                <c:pt idx="755">
                  <c:v>33.923600000000995</c:v>
                </c:pt>
                <c:pt idx="756">
                  <c:v>33.923700000000999</c:v>
                </c:pt>
                <c:pt idx="757">
                  <c:v>33.923800000001002</c:v>
                </c:pt>
                <c:pt idx="758">
                  <c:v>33.923900000001005</c:v>
                </c:pt>
                <c:pt idx="759">
                  <c:v>33.924000000001008</c:v>
                </c:pt>
                <c:pt idx="760">
                  <c:v>33.924100000001012</c:v>
                </c:pt>
                <c:pt idx="761">
                  <c:v>33.924200000001015</c:v>
                </c:pt>
                <c:pt idx="762">
                  <c:v>33.924300000001018</c:v>
                </c:pt>
                <c:pt idx="763">
                  <c:v>33.924400000001022</c:v>
                </c:pt>
                <c:pt idx="764">
                  <c:v>33.924500000001025</c:v>
                </c:pt>
                <c:pt idx="765">
                  <c:v>33.924600000001028</c:v>
                </c:pt>
                <c:pt idx="766">
                  <c:v>33.924700000001032</c:v>
                </c:pt>
                <c:pt idx="767">
                  <c:v>33.924800000001035</c:v>
                </c:pt>
                <c:pt idx="768">
                  <c:v>33.924900000001038</c:v>
                </c:pt>
                <c:pt idx="769">
                  <c:v>33.925000000001042</c:v>
                </c:pt>
                <c:pt idx="770">
                  <c:v>33.925100000001045</c:v>
                </c:pt>
                <c:pt idx="771">
                  <c:v>33.925200000001048</c:v>
                </c:pt>
                <c:pt idx="772">
                  <c:v>33.925300000001052</c:v>
                </c:pt>
                <c:pt idx="773">
                  <c:v>33.925400000001055</c:v>
                </c:pt>
                <c:pt idx="774">
                  <c:v>33.925500000001058</c:v>
                </c:pt>
                <c:pt idx="775">
                  <c:v>33.925600000001062</c:v>
                </c:pt>
                <c:pt idx="776">
                  <c:v>33.925700000001065</c:v>
                </c:pt>
                <c:pt idx="777">
                  <c:v>33.925800000001068</c:v>
                </c:pt>
                <c:pt idx="778">
                  <c:v>33.925900000001072</c:v>
                </c:pt>
                <c:pt idx="779">
                  <c:v>33.926000000001075</c:v>
                </c:pt>
                <c:pt idx="780">
                  <c:v>33.926100000001078</c:v>
                </c:pt>
                <c:pt idx="781">
                  <c:v>33.926200000001081</c:v>
                </c:pt>
                <c:pt idx="782">
                  <c:v>33.926300000001085</c:v>
                </c:pt>
                <c:pt idx="783">
                  <c:v>33.926400000001088</c:v>
                </c:pt>
                <c:pt idx="784">
                  <c:v>33.926500000001091</c:v>
                </c:pt>
                <c:pt idx="785">
                  <c:v>33.926600000001095</c:v>
                </c:pt>
                <c:pt idx="786">
                  <c:v>33.926700000001098</c:v>
                </c:pt>
                <c:pt idx="787">
                  <c:v>33.926800000001101</c:v>
                </c:pt>
                <c:pt idx="788">
                  <c:v>33.926900000001105</c:v>
                </c:pt>
                <c:pt idx="789">
                  <c:v>33.927000000001108</c:v>
                </c:pt>
                <c:pt idx="790">
                  <c:v>33.927100000001111</c:v>
                </c:pt>
                <c:pt idx="791">
                  <c:v>33.927200000001115</c:v>
                </c:pt>
                <c:pt idx="792">
                  <c:v>33.927300000001118</c:v>
                </c:pt>
                <c:pt idx="793">
                  <c:v>33.927400000001121</c:v>
                </c:pt>
                <c:pt idx="794">
                  <c:v>33.927500000001125</c:v>
                </c:pt>
                <c:pt idx="795">
                  <c:v>33.927600000001128</c:v>
                </c:pt>
                <c:pt idx="796">
                  <c:v>33.927700000001131</c:v>
                </c:pt>
                <c:pt idx="797">
                  <c:v>33.927800000001135</c:v>
                </c:pt>
                <c:pt idx="798">
                  <c:v>33.927900000001138</c:v>
                </c:pt>
                <c:pt idx="799">
                  <c:v>33.928000000001141</c:v>
                </c:pt>
                <c:pt idx="800">
                  <c:v>33.928100000001145</c:v>
                </c:pt>
                <c:pt idx="801">
                  <c:v>33.928200000001148</c:v>
                </c:pt>
                <c:pt idx="802">
                  <c:v>33.928300000001151</c:v>
                </c:pt>
                <c:pt idx="803">
                  <c:v>33.928400000001155</c:v>
                </c:pt>
                <c:pt idx="804">
                  <c:v>33.928500000001158</c:v>
                </c:pt>
                <c:pt idx="805">
                  <c:v>33.928600000001161</c:v>
                </c:pt>
                <c:pt idx="806">
                  <c:v>33.928700000001164</c:v>
                </c:pt>
                <c:pt idx="807">
                  <c:v>33.928800000001168</c:v>
                </c:pt>
                <c:pt idx="808">
                  <c:v>33.928900000001171</c:v>
                </c:pt>
                <c:pt idx="809">
                  <c:v>33.929000000001174</c:v>
                </c:pt>
                <c:pt idx="810">
                  <c:v>33.929100000001178</c:v>
                </c:pt>
                <c:pt idx="811">
                  <c:v>33.929200000001181</c:v>
                </c:pt>
                <c:pt idx="812">
                  <c:v>33.929300000001184</c:v>
                </c:pt>
                <c:pt idx="813">
                  <c:v>33.929400000001188</c:v>
                </c:pt>
                <c:pt idx="814">
                  <c:v>33.929500000001191</c:v>
                </c:pt>
                <c:pt idx="815">
                  <c:v>33.929600000001194</c:v>
                </c:pt>
                <c:pt idx="816">
                  <c:v>33.929700000001198</c:v>
                </c:pt>
                <c:pt idx="817">
                  <c:v>33.929800000001201</c:v>
                </c:pt>
                <c:pt idx="818">
                  <c:v>33.929900000001204</c:v>
                </c:pt>
                <c:pt idx="819">
                  <c:v>33.930000000001208</c:v>
                </c:pt>
                <c:pt idx="820">
                  <c:v>33.930100000001211</c:v>
                </c:pt>
                <c:pt idx="821">
                  <c:v>33.930200000001214</c:v>
                </c:pt>
                <c:pt idx="822">
                  <c:v>33.930300000001218</c:v>
                </c:pt>
                <c:pt idx="823">
                  <c:v>33.930400000001221</c:v>
                </c:pt>
                <c:pt idx="824">
                  <c:v>33.930500000001224</c:v>
                </c:pt>
                <c:pt idx="825">
                  <c:v>33.930600000001228</c:v>
                </c:pt>
                <c:pt idx="826">
                  <c:v>33.930700000001231</c:v>
                </c:pt>
                <c:pt idx="827">
                  <c:v>33.930800000001234</c:v>
                </c:pt>
                <c:pt idx="828">
                  <c:v>33.930900000001238</c:v>
                </c:pt>
                <c:pt idx="829">
                  <c:v>33.931000000001241</c:v>
                </c:pt>
                <c:pt idx="830">
                  <c:v>33.931100000001244</c:v>
                </c:pt>
                <c:pt idx="831">
                  <c:v>33.931200000001247</c:v>
                </c:pt>
                <c:pt idx="832">
                  <c:v>33.931300000001251</c:v>
                </c:pt>
                <c:pt idx="833">
                  <c:v>33.931400000001254</c:v>
                </c:pt>
                <c:pt idx="834">
                  <c:v>33.931500000001257</c:v>
                </c:pt>
                <c:pt idx="835">
                  <c:v>33.931600000001261</c:v>
                </c:pt>
                <c:pt idx="836">
                  <c:v>33.931700000001264</c:v>
                </c:pt>
                <c:pt idx="837">
                  <c:v>33.931800000001267</c:v>
                </c:pt>
                <c:pt idx="838">
                  <c:v>33.931900000001271</c:v>
                </c:pt>
                <c:pt idx="839">
                  <c:v>33.932000000001274</c:v>
                </c:pt>
                <c:pt idx="840">
                  <c:v>33.932100000001277</c:v>
                </c:pt>
                <c:pt idx="841">
                  <c:v>33.932200000001281</c:v>
                </c:pt>
                <c:pt idx="842">
                  <c:v>33.932300000001284</c:v>
                </c:pt>
                <c:pt idx="843">
                  <c:v>33.932400000001287</c:v>
                </c:pt>
                <c:pt idx="844">
                  <c:v>33.932500000001291</c:v>
                </c:pt>
                <c:pt idx="845">
                  <c:v>33.932600000001294</c:v>
                </c:pt>
                <c:pt idx="846">
                  <c:v>33.932700000001297</c:v>
                </c:pt>
                <c:pt idx="847">
                  <c:v>33.932800000001301</c:v>
                </c:pt>
                <c:pt idx="848">
                  <c:v>33.932900000001304</c:v>
                </c:pt>
                <c:pt idx="849">
                  <c:v>33.933000000001307</c:v>
                </c:pt>
                <c:pt idx="850">
                  <c:v>33.933100000001311</c:v>
                </c:pt>
                <c:pt idx="851">
                  <c:v>33.933200000001314</c:v>
                </c:pt>
                <c:pt idx="852">
                  <c:v>33.933300000001317</c:v>
                </c:pt>
                <c:pt idx="853">
                  <c:v>33.933400000001321</c:v>
                </c:pt>
                <c:pt idx="854">
                  <c:v>33.933500000001324</c:v>
                </c:pt>
                <c:pt idx="855">
                  <c:v>33.933600000001327</c:v>
                </c:pt>
                <c:pt idx="856">
                  <c:v>33.93370000000133</c:v>
                </c:pt>
                <c:pt idx="857">
                  <c:v>33.933800000001334</c:v>
                </c:pt>
                <c:pt idx="858">
                  <c:v>33.933900000001337</c:v>
                </c:pt>
                <c:pt idx="859">
                  <c:v>33.93400000000134</c:v>
                </c:pt>
                <c:pt idx="860">
                  <c:v>33.934100000001344</c:v>
                </c:pt>
                <c:pt idx="861">
                  <c:v>33.934200000001347</c:v>
                </c:pt>
                <c:pt idx="862">
                  <c:v>33.93430000000135</c:v>
                </c:pt>
                <c:pt idx="863">
                  <c:v>33.934400000001354</c:v>
                </c:pt>
                <c:pt idx="864">
                  <c:v>33.934500000001357</c:v>
                </c:pt>
                <c:pt idx="865">
                  <c:v>33.93460000000136</c:v>
                </c:pt>
                <c:pt idx="866">
                  <c:v>33.934700000001364</c:v>
                </c:pt>
                <c:pt idx="867">
                  <c:v>33.934800000001367</c:v>
                </c:pt>
                <c:pt idx="868">
                  <c:v>33.93490000000137</c:v>
                </c:pt>
                <c:pt idx="869">
                  <c:v>33.935000000001374</c:v>
                </c:pt>
                <c:pt idx="870">
                  <c:v>33.935100000001377</c:v>
                </c:pt>
                <c:pt idx="871">
                  <c:v>33.93520000000138</c:v>
                </c:pt>
                <c:pt idx="872">
                  <c:v>33.935300000001384</c:v>
                </c:pt>
                <c:pt idx="873">
                  <c:v>33.935400000001387</c:v>
                </c:pt>
                <c:pt idx="874">
                  <c:v>33.93550000000139</c:v>
                </c:pt>
                <c:pt idx="875">
                  <c:v>33.935600000001394</c:v>
                </c:pt>
                <c:pt idx="876">
                  <c:v>33.935700000001397</c:v>
                </c:pt>
                <c:pt idx="877">
                  <c:v>33.9358000000014</c:v>
                </c:pt>
                <c:pt idx="878">
                  <c:v>33.935900000001403</c:v>
                </c:pt>
                <c:pt idx="879">
                  <c:v>33.936000000001407</c:v>
                </c:pt>
                <c:pt idx="880">
                  <c:v>33.93610000000141</c:v>
                </c:pt>
                <c:pt idx="881">
                  <c:v>33.936200000001413</c:v>
                </c:pt>
                <c:pt idx="882">
                  <c:v>33.936300000001417</c:v>
                </c:pt>
                <c:pt idx="883">
                  <c:v>33.93640000000142</c:v>
                </c:pt>
                <c:pt idx="884">
                  <c:v>33.936500000001423</c:v>
                </c:pt>
                <c:pt idx="885">
                  <c:v>33.936600000001427</c:v>
                </c:pt>
                <c:pt idx="886">
                  <c:v>33.93670000000143</c:v>
                </c:pt>
                <c:pt idx="887">
                  <c:v>33.936800000001433</c:v>
                </c:pt>
                <c:pt idx="888">
                  <c:v>33.936900000001437</c:v>
                </c:pt>
                <c:pt idx="889">
                  <c:v>33.93700000000144</c:v>
                </c:pt>
                <c:pt idx="890">
                  <c:v>33.937100000001443</c:v>
                </c:pt>
                <c:pt idx="891">
                  <c:v>33.937200000001447</c:v>
                </c:pt>
                <c:pt idx="892">
                  <c:v>33.93730000000145</c:v>
                </c:pt>
                <c:pt idx="893">
                  <c:v>33.937400000001453</c:v>
                </c:pt>
                <c:pt idx="894">
                  <c:v>33.937500000001457</c:v>
                </c:pt>
                <c:pt idx="895">
                  <c:v>33.93760000000146</c:v>
                </c:pt>
                <c:pt idx="896">
                  <c:v>33.937700000001463</c:v>
                </c:pt>
                <c:pt idx="897">
                  <c:v>33.937800000001467</c:v>
                </c:pt>
                <c:pt idx="898">
                  <c:v>33.93790000000147</c:v>
                </c:pt>
                <c:pt idx="899">
                  <c:v>33.938000000001473</c:v>
                </c:pt>
                <c:pt idx="900">
                  <c:v>33.938100000001477</c:v>
                </c:pt>
                <c:pt idx="901">
                  <c:v>33.93820000000148</c:v>
                </c:pt>
                <c:pt idx="902">
                  <c:v>33.938300000001483</c:v>
                </c:pt>
                <c:pt idx="903">
                  <c:v>33.938400000001486</c:v>
                </c:pt>
                <c:pt idx="904">
                  <c:v>33.93850000000149</c:v>
                </c:pt>
                <c:pt idx="905">
                  <c:v>33.938600000001493</c:v>
                </c:pt>
                <c:pt idx="906">
                  <c:v>33.938700000001496</c:v>
                </c:pt>
                <c:pt idx="907">
                  <c:v>33.9388000000015</c:v>
                </c:pt>
                <c:pt idx="908">
                  <c:v>33.938900000001503</c:v>
                </c:pt>
                <c:pt idx="909">
                  <c:v>33.939000000001506</c:v>
                </c:pt>
                <c:pt idx="910">
                  <c:v>33.93910000000151</c:v>
                </c:pt>
                <c:pt idx="911">
                  <c:v>33.939200000001513</c:v>
                </c:pt>
                <c:pt idx="912">
                  <c:v>33.939300000001516</c:v>
                </c:pt>
                <c:pt idx="913">
                  <c:v>33.93940000000152</c:v>
                </c:pt>
                <c:pt idx="914">
                  <c:v>33.939500000001523</c:v>
                </c:pt>
                <c:pt idx="915">
                  <c:v>33.939600000001526</c:v>
                </c:pt>
                <c:pt idx="916">
                  <c:v>33.93970000000153</c:v>
                </c:pt>
                <c:pt idx="917">
                  <c:v>33.939800000001533</c:v>
                </c:pt>
                <c:pt idx="918">
                  <c:v>33.939900000001536</c:v>
                </c:pt>
                <c:pt idx="919">
                  <c:v>33.94000000000154</c:v>
                </c:pt>
                <c:pt idx="920">
                  <c:v>33.940100000001543</c:v>
                </c:pt>
                <c:pt idx="921">
                  <c:v>33.940200000001546</c:v>
                </c:pt>
                <c:pt idx="922">
                  <c:v>33.94030000000155</c:v>
                </c:pt>
                <c:pt idx="923">
                  <c:v>33.940400000001553</c:v>
                </c:pt>
                <c:pt idx="924">
                  <c:v>33.940500000001556</c:v>
                </c:pt>
                <c:pt idx="925">
                  <c:v>33.94060000000156</c:v>
                </c:pt>
                <c:pt idx="926">
                  <c:v>33.940700000001563</c:v>
                </c:pt>
                <c:pt idx="927">
                  <c:v>33.940800000001566</c:v>
                </c:pt>
                <c:pt idx="928">
                  <c:v>33.940900000001569</c:v>
                </c:pt>
                <c:pt idx="929">
                  <c:v>33.941000000001573</c:v>
                </c:pt>
                <c:pt idx="930">
                  <c:v>33.941100000001576</c:v>
                </c:pt>
                <c:pt idx="931">
                  <c:v>33.941200000001579</c:v>
                </c:pt>
                <c:pt idx="932">
                  <c:v>33.941300000001583</c:v>
                </c:pt>
                <c:pt idx="933">
                  <c:v>33.941400000001586</c:v>
                </c:pt>
                <c:pt idx="934">
                  <c:v>33.941500000001589</c:v>
                </c:pt>
                <c:pt idx="935">
                  <c:v>33.941600000001593</c:v>
                </c:pt>
                <c:pt idx="936">
                  <c:v>33.941700000001596</c:v>
                </c:pt>
                <c:pt idx="937">
                  <c:v>33.941800000001599</c:v>
                </c:pt>
                <c:pt idx="938">
                  <c:v>33.941900000001603</c:v>
                </c:pt>
                <c:pt idx="939">
                  <c:v>33.942000000001606</c:v>
                </c:pt>
                <c:pt idx="940">
                  <c:v>33.942100000001609</c:v>
                </c:pt>
                <c:pt idx="941">
                  <c:v>33.942200000001613</c:v>
                </c:pt>
                <c:pt idx="942">
                  <c:v>33.942300000001616</c:v>
                </c:pt>
                <c:pt idx="943">
                  <c:v>33.942400000001619</c:v>
                </c:pt>
                <c:pt idx="944">
                  <c:v>33.942500000001623</c:v>
                </c:pt>
                <c:pt idx="945">
                  <c:v>33.942600000001626</c:v>
                </c:pt>
                <c:pt idx="946">
                  <c:v>33.942700000001629</c:v>
                </c:pt>
                <c:pt idx="947">
                  <c:v>33.942800000001633</c:v>
                </c:pt>
                <c:pt idx="948">
                  <c:v>33.942900000001636</c:v>
                </c:pt>
                <c:pt idx="949">
                  <c:v>33.943000000001639</c:v>
                </c:pt>
                <c:pt idx="950">
                  <c:v>33.943100000001643</c:v>
                </c:pt>
                <c:pt idx="951">
                  <c:v>33.943200000001646</c:v>
                </c:pt>
                <c:pt idx="952">
                  <c:v>33.943300000001649</c:v>
                </c:pt>
                <c:pt idx="953">
                  <c:v>33.943400000001652</c:v>
                </c:pt>
                <c:pt idx="954">
                  <c:v>33.943500000001656</c:v>
                </c:pt>
                <c:pt idx="955">
                  <c:v>33.943600000001659</c:v>
                </c:pt>
                <c:pt idx="956">
                  <c:v>33.943700000001662</c:v>
                </c:pt>
                <c:pt idx="957">
                  <c:v>33.943800000001666</c:v>
                </c:pt>
                <c:pt idx="958">
                  <c:v>33.943900000001669</c:v>
                </c:pt>
                <c:pt idx="959">
                  <c:v>33.944000000001672</c:v>
                </c:pt>
                <c:pt idx="960">
                  <c:v>33.944100000001676</c:v>
                </c:pt>
                <c:pt idx="961">
                  <c:v>33.944200000001679</c:v>
                </c:pt>
                <c:pt idx="962">
                  <c:v>33.944300000001682</c:v>
                </c:pt>
                <c:pt idx="963">
                  <c:v>33.944400000001686</c:v>
                </c:pt>
                <c:pt idx="964">
                  <c:v>33.944500000001689</c:v>
                </c:pt>
                <c:pt idx="965">
                  <c:v>33.944600000001692</c:v>
                </c:pt>
                <c:pt idx="966">
                  <c:v>33.944700000001696</c:v>
                </c:pt>
                <c:pt idx="967">
                  <c:v>33.944800000001699</c:v>
                </c:pt>
                <c:pt idx="968">
                  <c:v>33.944900000001702</c:v>
                </c:pt>
                <c:pt idx="969">
                  <c:v>33.945000000001706</c:v>
                </c:pt>
                <c:pt idx="970">
                  <c:v>33.945100000001709</c:v>
                </c:pt>
                <c:pt idx="971">
                  <c:v>33.945200000001712</c:v>
                </c:pt>
                <c:pt idx="972">
                  <c:v>33.945300000001716</c:v>
                </c:pt>
                <c:pt idx="973">
                  <c:v>33.945400000001719</c:v>
                </c:pt>
                <c:pt idx="974">
                  <c:v>33.945500000001722</c:v>
                </c:pt>
                <c:pt idx="975">
                  <c:v>33.945600000001726</c:v>
                </c:pt>
                <c:pt idx="976">
                  <c:v>33.945700000001729</c:v>
                </c:pt>
                <c:pt idx="977">
                  <c:v>33.945800000001732</c:v>
                </c:pt>
                <c:pt idx="978">
                  <c:v>33.945900000001735</c:v>
                </c:pt>
                <c:pt idx="979">
                  <c:v>33.946000000001739</c:v>
                </c:pt>
                <c:pt idx="980">
                  <c:v>33.946100000001742</c:v>
                </c:pt>
                <c:pt idx="981">
                  <c:v>33.946200000001745</c:v>
                </c:pt>
                <c:pt idx="982">
                  <c:v>33.946300000001749</c:v>
                </c:pt>
                <c:pt idx="983">
                  <c:v>33.946400000001752</c:v>
                </c:pt>
                <c:pt idx="984">
                  <c:v>33.946500000001755</c:v>
                </c:pt>
                <c:pt idx="985">
                  <c:v>33.946600000001759</c:v>
                </c:pt>
                <c:pt idx="986">
                  <c:v>33.946700000001762</c:v>
                </c:pt>
                <c:pt idx="987">
                  <c:v>33.946800000001765</c:v>
                </c:pt>
                <c:pt idx="988">
                  <c:v>33.946900000001769</c:v>
                </c:pt>
                <c:pt idx="989">
                  <c:v>33.947000000001772</c:v>
                </c:pt>
                <c:pt idx="990">
                  <c:v>33.947100000001775</c:v>
                </c:pt>
                <c:pt idx="991">
                  <c:v>33.947200000001779</c:v>
                </c:pt>
                <c:pt idx="992">
                  <c:v>33.947300000001782</c:v>
                </c:pt>
                <c:pt idx="993">
                  <c:v>33.947400000001785</c:v>
                </c:pt>
                <c:pt idx="994">
                  <c:v>33.947500000001789</c:v>
                </c:pt>
                <c:pt idx="995">
                  <c:v>33.947600000001792</c:v>
                </c:pt>
                <c:pt idx="996">
                  <c:v>33.947700000001795</c:v>
                </c:pt>
                <c:pt idx="997">
                  <c:v>33.947800000001799</c:v>
                </c:pt>
                <c:pt idx="998">
                  <c:v>33.947900000001802</c:v>
                </c:pt>
                <c:pt idx="999">
                  <c:v>33.948000000001805</c:v>
                </c:pt>
                <c:pt idx="1000">
                  <c:v>33.948100000001808</c:v>
                </c:pt>
              </c:numCache>
            </c:numRef>
          </c:xVal>
          <c:yVal>
            <c:numRef>
              <c:f>Calculs!$K$4:$K$1004</c:f>
              <c:numCache>
                <c:formatCode>0.00</c:formatCode>
                <c:ptCount val="1001"/>
                <c:pt idx="0">
                  <c:v>0</c:v>
                </c:pt>
                <c:pt idx="1">
                  <c:v>8.6628900036048477E-4</c:v>
                </c:pt>
                <c:pt idx="2">
                  <c:v>7.2012236735458125E-3</c:v>
                </c:pt>
                <c:pt idx="3">
                  <c:v>2.5017616524039755E-2</c:v>
                </c:pt>
                <c:pt idx="4">
                  <c:v>5.6354312087586476E-2</c:v>
                </c:pt>
                <c:pt idx="5">
                  <c:v>0.10073493119666843</c:v>
                </c:pt>
                <c:pt idx="6">
                  <c:v>0.15782750892855033</c:v>
                </c:pt>
                <c:pt idx="7">
                  <c:v>0.2275904628140466</c:v>
                </c:pt>
                <c:pt idx="8">
                  <c:v>0.3101276317868239</c:v>
                </c:pt>
                <c:pt idx="9">
                  <c:v>0.40554291741945758</c:v>
                </c:pt>
                <c:pt idx="10">
                  <c:v>0.51394028211170439</c:v>
                </c:pt>
                <c:pt idx="11">
                  <c:v>0.63540864029548572</c:v>
                </c:pt>
                <c:pt idx="12">
                  <c:v>0.77000670842922758</c:v>
                </c:pt>
                <c:pt idx="13">
                  <c:v>0.91777804925889894</c:v>
                </c:pt>
                <c:pt idx="14">
                  <c:v>1.0787661575146401</c:v>
                </c:pt>
                <c:pt idx="15">
                  <c:v>1.2530144585302383</c:v>
                </c:pt>
                <c:pt idx="16">
                  <c:v>1.4405663068577128</c:v>
                </c:pt>
                <c:pt idx="17">
                  <c:v>1.6414649848770997</c:v>
                </c:pt>
                <c:pt idx="18">
                  <c:v>1.8557537014015273</c:v>
                </c:pt>
                <c:pt idx="19">
                  <c:v>2.0834755902776774</c:v>
                </c:pt>
                <c:pt idx="20">
                  <c:v>2.324673708981726</c:v>
                </c:pt>
                <c:pt idx="21">
                  <c:v>2.5793849731424268</c:v>
                </c:pt>
                <c:pt idx="22">
                  <c:v>2.8476340748106428</c:v>
                </c:pt>
                <c:pt idx="23">
                  <c:v>3.1294395216112507</c:v>
                </c:pt>
                <c:pt idx="24">
                  <c:v>3.4248196924281418</c:v>
                </c:pt>
                <c:pt idx="25">
                  <c:v>3.7337928365589774</c:v>
                </c:pt>
                <c:pt idx="26">
                  <c:v>4.0563770728739126</c:v>
                </c:pt>
                <c:pt idx="27">
                  <c:v>4.3925755877908621</c:v>
                </c:pt>
                <c:pt idx="28">
                  <c:v>4.7423908160914694</c:v>
                </c:pt>
                <c:pt idx="29">
                  <c:v>5.1058392494780653</c:v>
                </c:pt>
                <c:pt idx="30">
                  <c:v>5.4829372720818874</c:v>
                </c:pt>
                <c:pt idx="31">
                  <c:v>5.873701168246237</c:v>
                </c:pt>
                <c:pt idx="32">
                  <c:v>6.2781471194657898</c:v>
                </c:pt>
                <c:pt idx="33">
                  <c:v>6.6962912015466713</c:v>
                </c:pt>
                <c:pt idx="34">
                  <c:v>7.1281493819604114</c:v>
                </c:pt>
                <c:pt idx="35">
                  <c:v>7.5737375173689676</c:v>
                </c:pt>
                <c:pt idx="36">
                  <c:v>8.0330713513014143</c:v>
                </c:pt>
                <c:pt idx="37">
                  <c:v>8.5061665119656507</c:v>
                </c:pt>
                <c:pt idx="38">
                  <c:v>8.9930385101808419</c:v>
                </c:pt>
                <c:pt idx="39">
                  <c:v>9.4937027374182215</c:v>
                </c:pt>
                <c:pt idx="40">
                  <c:v>10.00817446393954</c:v>
                </c:pt>
                <c:pt idx="41">
                  <c:v>10.536464117495703</c:v>
                </c:pt>
                <c:pt idx="42">
                  <c:v>11.07857255109665</c:v>
                </c:pt>
                <c:pt idx="43">
                  <c:v>11.634495745555906</c:v>
                </c:pt>
                <c:pt idx="44">
                  <c:v>12.204229523373577</c:v>
                </c:pt>
                <c:pt idx="45">
                  <c:v>12.787769547775413</c:v>
                </c:pt>
                <c:pt idx="46">
                  <c:v>13.385111321818952</c:v>
                </c:pt>
                <c:pt idx="47">
                  <c:v>13.996250187561616</c:v>
                </c:pt>
                <c:pt idx="48">
                  <c:v>14.621181325286233</c:v>
                </c:pt>
                <c:pt idx="49">
                  <c:v>15.259899752779951</c:v>
                </c:pt>
                <c:pt idx="50">
                  <c:v>15.91240032466289</c:v>
                </c:pt>
                <c:pt idx="51">
                  <c:v>16.578677731763335</c:v>
                </c:pt>
                <c:pt idx="52">
                  <c:v>17.258726500536522</c:v>
                </c:pt>
                <c:pt idx="53">
                  <c:v>17.952540992524415</c:v>
                </c:pt>
                <c:pt idx="54">
                  <c:v>18.660115403854107</c:v>
                </c:pt>
                <c:pt idx="55">
                  <c:v>19.381443764772694</c:v>
                </c:pt>
                <c:pt idx="56">
                  <c:v>20.116519939216683</c:v>
                </c:pt>
                <c:pt idx="57">
                  <c:v>20.865337624414206</c:v>
                </c:pt>
                <c:pt idx="58">
                  <c:v>21.627890350518371</c:v>
                </c:pt>
                <c:pt idx="59">
                  <c:v>22.404171480270371</c:v>
                </c:pt>
                <c:pt idx="60">
                  <c:v>23.194174208690953</c:v>
                </c:pt>
                <c:pt idx="61">
                  <c:v>23.997891562799051</c:v>
                </c:pt>
                <c:pt idx="62">
                  <c:v>24.815316401356483</c:v>
                </c:pt>
                <c:pt idx="63">
                  <c:v>25.646441414637643</c:v>
                </c:pt>
                <c:pt idx="64">
                  <c:v>26.491259124223284</c:v>
                </c:pt>
                <c:pt idx="65">
                  <c:v>27.349761882817514</c:v>
                </c:pt>
                <c:pt idx="66">
                  <c:v>28.221941874087179</c:v>
                </c:pt>
                <c:pt idx="67">
                  <c:v>29.107791112522925</c:v>
                </c:pt>
                <c:pt idx="68">
                  <c:v>30.007301443321229</c:v>
                </c:pt>
                <c:pt idx="69">
                  <c:v>30.920464542286776</c:v>
                </c:pt>
                <c:pt idx="70">
                  <c:v>31.847271915754604</c:v>
                </c:pt>
                <c:pt idx="71">
                  <c:v>32.787714900531427</c:v>
                </c:pt>
                <c:pt idx="72">
                  <c:v>33.741784663855668</c:v>
                </c:pt>
                <c:pt idx="73">
                  <c:v>34.709472203375725</c:v>
                </c:pt>
                <c:pt idx="74">
                  <c:v>35.690768347145983</c:v>
                </c:pt>
                <c:pt idx="75">
                  <c:v>36.685663753640199</c:v>
                </c:pt>
                <c:pt idx="76">
                  <c:v>37.694148911781852</c:v>
                </c:pt>
                <c:pt idx="77">
                  <c:v>38.716214140991106</c:v>
                </c:pt>
                <c:pt idx="78">
                  <c:v>39.751849591248018</c:v>
                </c:pt>
                <c:pt idx="79">
                  <c:v>40.8010452431717</c:v>
                </c:pt>
                <c:pt idx="80">
                  <c:v>41.863790908115085</c:v>
                </c:pt>
                <c:pt idx="81">
                  <c:v>42.940071429945675</c:v>
                </c:pt>
                <c:pt idx="82">
                  <c:v>44.029861877728656</c:v>
                </c:pt>
                <c:pt idx="83">
                  <c:v>45.133132333118112</c:v>
                </c:pt>
                <c:pt idx="84">
                  <c:v>46.24985268725333</c:v>
                </c:pt>
                <c:pt idx="85">
                  <c:v>47.379992641684524</c:v>
                </c:pt>
                <c:pt idx="86">
                  <c:v>48.523521709314743</c:v>
                </c:pt>
                <c:pt idx="87">
                  <c:v>49.680409215357621</c:v>
                </c:pt>
                <c:pt idx="88">
                  <c:v>50.850624298310578</c:v>
                </c:pt>
                <c:pt idx="89">
                  <c:v>52.034135910943156</c:v>
                </c:pt>
                <c:pt idx="90">
                  <c:v>53.230912821300144</c:v>
                </c:pt>
                <c:pt idx="91">
                  <c:v>54.440921492624689</c:v>
                </c:pt>
                <c:pt idx="92">
                  <c:v>55.66412395961769</c:v>
                </c:pt>
                <c:pt idx="93">
                  <c:v>56.900479946366985</c:v>
                </c:pt>
                <c:pt idx="94">
                  <c:v>58.14994898815317</c:v>
                </c:pt>
                <c:pt idx="95">
                  <c:v>59.41249043289254</c:v>
                </c:pt>
                <c:pt idx="96">
                  <c:v>60.688063442592998</c:v>
                </c:pt>
                <c:pt idx="97">
                  <c:v>61.976626994822567</c:v>
                </c:pt>
                <c:pt idx="98">
                  <c:v>63.27813988419021</c:v>
                </c:pt>
                <c:pt idx="99">
                  <c:v>64.592560723838545</c:v>
                </c:pt>
                <c:pt idx="100">
                  <c:v>65.919847946948224</c:v>
                </c:pt>
                <c:pt idx="101">
                  <c:v>67.259959468813378</c:v>
                </c:pt>
                <c:pt idx="102">
                  <c:v>68.612852348400565</c:v>
                </c:pt>
                <c:pt idx="103">
                  <c:v>69.978483128767778</c:v>
                </c:pt>
                <c:pt idx="104">
                  <c:v>71.35680817805185</c:v>
                </c:pt>
                <c:pt idx="105">
                  <c:v>72.747783691087108</c:v>
                </c:pt>
                <c:pt idx="106">
                  <c:v>74.151365691033703</c:v>
                </c:pt>
                <c:pt idx="107">
                  <c:v>75.567510031015274</c:v>
                </c:pt>
                <c:pt idx="108">
                  <c:v>76.996172395765669</c:v>
                </c:pt>
                <c:pt idx="109">
                  <c:v>78.437308303284482</c:v>
                </c:pt>
                <c:pt idx="110">
                  <c:v>79.890873106500976</c:v>
                </c:pt>
                <c:pt idx="111">
                  <c:v>81.356825905123841</c:v>
                </c:pt>
                <c:pt idx="112">
                  <c:v>82.835133462881416</c:v>
                </c:pt>
                <c:pt idx="113">
                  <c:v>84.325766304174451</c:v>
                </c:pt>
                <c:pt idx="114">
                  <c:v>85.828694805022124</c:v>
                </c:pt>
                <c:pt idx="115">
                  <c:v>87.343889194101806</c:v>
                </c:pt>
                <c:pt idx="116">
                  <c:v>88.871319553796894</c:v>
                </c:pt>
                <c:pt idx="117">
                  <c:v>90.410955821252557</c:v>
                </c:pt>
                <c:pt idx="118">
                  <c:v>91.962767789439269</c:v>
                </c:pt>
                <c:pt idx="119">
                  <c:v>93.526725108223843</c:v>
                </c:pt>
                <c:pt idx="120">
                  <c:v>95.102797285447949</c:v>
                </c:pt>
                <c:pt idx="121">
                  <c:v>96.690947199186212</c:v>
                </c:pt>
                <c:pt idx="122">
                  <c:v>98.291124602065452</c:v>
                </c:pt>
                <c:pt idx="123">
                  <c:v>99.903272604579229</c:v>
                </c:pt>
                <c:pt idx="124">
                  <c:v>101.52733416692158</c:v>
                </c:pt>
                <c:pt idx="125">
                  <c:v>103.16325210123135</c:v>
                </c:pt>
                <c:pt idx="126">
                  <c:v>104.81096907383936</c:v>
                </c:pt>
                <c:pt idx="127">
                  <c:v>106.47042760751795</c:v>
                </c:pt>
                <c:pt idx="128">
                  <c:v>108.14157008373277</c:v>
                </c:pt>
                <c:pt idx="129">
                  <c:v>109.82433874489629</c:v>
                </c:pt>
                <c:pt idx="130">
                  <c:v>111.51867569662285</c:v>
                </c:pt>
                <c:pt idx="131">
                  <c:v>113.22452121032657</c:v>
                </c:pt>
                <c:pt idx="132">
                  <c:v>114.9418120240928</c:v>
                </c:pt>
                <c:pt idx="133">
                  <c:v>116.67048304351177</c:v>
                </c:pt>
                <c:pt idx="134">
                  <c:v>118.41046904440124</c:v>
                </c:pt>
                <c:pt idx="135">
                  <c:v>120.16170467538571</c:v>
                </c:pt>
                <c:pt idx="136">
                  <c:v>121.92412446047344</c:v>
                </c:pt>
                <c:pt idx="137">
                  <c:v>123.69766280163101</c:v>
                </c:pt>
                <c:pt idx="138">
                  <c:v>125.48225398135497</c:v>
                </c:pt>
                <c:pt idx="139">
                  <c:v>127.27783216524035</c:v>
                </c:pt>
                <c:pt idx="140">
                  <c:v>129.08433140454554</c:v>
                </c:pt>
                <c:pt idx="141">
                  <c:v>130.90166530641716</c:v>
                </c:pt>
                <c:pt idx="142">
                  <c:v>132.72970668816069</c:v>
                </c:pt>
                <c:pt idx="143">
                  <c:v>134.56830790785585</c:v>
                </c:pt>
                <c:pt idx="144">
                  <c:v>136.41732121331219</c:v>
                </c:pt>
                <c:pt idx="145">
                  <c:v>138.2765987493795</c:v>
                </c:pt>
                <c:pt idx="146">
                  <c:v>140.1459925652083</c:v>
                </c:pt>
                <c:pt idx="147">
                  <c:v>142.02535462145951</c:v>
                </c:pt>
                <c:pt idx="148">
                  <c:v>143.91453679746186</c:v>
                </c:pt>
                <c:pt idx="149">
                  <c:v>145.81339089831641</c:v>
                </c:pt>
                <c:pt idx="150">
                  <c:v>147.72176866194664</c:v>
                </c:pt>
                <c:pt idx="151">
                  <c:v>149.63952176609362</c:v>
                </c:pt>
                <c:pt idx="152">
                  <c:v>151.56650183525502</c:v>
                </c:pt>
                <c:pt idx="153">
                  <c:v>153.50256044756694</c:v>
                </c:pt>
                <c:pt idx="154">
                  <c:v>155.4475491416278</c:v>
                </c:pt>
                <c:pt idx="155">
                  <c:v>157.40131942326346</c:v>
                </c:pt>
                <c:pt idx="156">
                  <c:v>159.36362642138494</c:v>
                </c:pt>
                <c:pt idx="157">
                  <c:v>161.33403253120548</c:v>
                </c:pt>
                <c:pt idx="158">
                  <c:v>163.31200386248253</c:v>
                </c:pt>
                <c:pt idx="159">
                  <c:v>165.29700672361676</c:v>
                </c:pt>
                <c:pt idx="160">
                  <c:v>167.28850767439644</c:v>
                </c:pt>
                <c:pt idx="161">
                  <c:v>169.28585106733385</c:v>
                </c:pt>
                <c:pt idx="162">
                  <c:v>171.28813666470111</c:v>
                </c:pt>
                <c:pt idx="163">
                  <c:v>173.29435415616197</c:v>
                </c:pt>
                <c:pt idx="164">
                  <c:v>175.30351764451225</c:v>
                </c:pt>
                <c:pt idx="165">
                  <c:v>177.31477112600189</c:v>
                </c:pt>
                <c:pt idx="166">
                  <c:v>179.32749380789372</c:v>
                </c:pt>
                <c:pt idx="167">
                  <c:v>181.34109384496603</c:v>
                </c:pt>
                <c:pt idx="168">
                  <c:v>183.35486670270612</c:v>
                </c:pt>
                <c:pt idx="169">
                  <c:v>185.36790062680041</c:v>
                </c:pt>
                <c:pt idx="170">
                  <c:v>187.37904673864361</c:v>
                </c:pt>
                <c:pt idx="171">
                  <c:v>189.38750130893436</c:v>
                </c:pt>
                <c:pt idx="172">
                  <c:v>191.39306496401636</c:v>
                </c:pt>
                <c:pt idx="173">
                  <c:v>193.39574354352331</c:v>
                </c:pt>
                <c:pt idx="174">
                  <c:v>195.39554286541716</c:v>
                </c:pt>
                <c:pt idx="175">
                  <c:v>197.39246872609442</c:v>
                </c:pt>
                <c:pt idx="176">
                  <c:v>199.38652690049204</c:v>
                </c:pt>
                <c:pt idx="177">
                  <c:v>201.37772314219248</c:v>
                </c:pt>
                <c:pt idx="178">
                  <c:v>203.36606318352813</c:v>
                </c:pt>
                <c:pt idx="179">
                  <c:v>205.35155273568523</c:v>
                </c:pt>
                <c:pt idx="180">
                  <c:v>207.33419748880698</c:v>
                </c:pt>
                <c:pt idx="181">
                  <c:v>209.31400311209615</c:v>
                </c:pt>
                <c:pt idx="182">
                  <c:v>211.29097525391691</c:v>
                </c:pt>
                <c:pt idx="183">
                  <c:v>213.26511954189621</c:v>
                </c:pt>
                <c:pt idx="184">
                  <c:v>215.23644158302437</c:v>
                </c:pt>
                <c:pt idx="185">
                  <c:v>217.20494696375516</c:v>
                </c:pt>
                <c:pt idx="186">
                  <c:v>219.17064125010526</c:v>
                </c:pt>
                <c:pt idx="187">
                  <c:v>221.13352998775306</c:v>
                </c:pt>
                <c:pt idx="188">
                  <c:v>223.09361870213689</c:v>
                </c:pt>
                <c:pt idx="189">
                  <c:v>225.05091289855264</c:v>
                </c:pt>
                <c:pt idx="190">
                  <c:v>227.00541806225078</c:v>
                </c:pt>
                <c:pt idx="191">
                  <c:v>228.95713965853284</c:v>
                </c:pt>
                <c:pt idx="192">
                  <c:v>230.90608313284724</c:v>
                </c:pt>
                <c:pt idx="193">
                  <c:v>232.85225391088454</c:v>
                </c:pt>
                <c:pt idx="194">
                  <c:v>234.79565739867218</c:v>
                </c:pt>
                <c:pt idx="195">
                  <c:v>236.73629898266853</c:v>
                </c:pt>
                <c:pt idx="196">
                  <c:v>238.67418402985655</c:v>
                </c:pt>
                <c:pt idx="197">
                  <c:v>240.60931788783665</c:v>
                </c:pt>
                <c:pt idx="198">
                  <c:v>242.54170588491922</c:v>
                </c:pt>
                <c:pt idx="199">
                  <c:v>244.47135333021643</c:v>
                </c:pt>
                <c:pt idx="200">
                  <c:v>246.39826551373358</c:v>
                </c:pt>
                <c:pt idx="201">
                  <c:v>265.51735623924014</c:v>
                </c:pt>
                <c:pt idx="202">
                  <c:v>284.36631129770609</c:v>
                </c:pt>
                <c:pt idx="203">
                  <c:v>302.95023953467677</c:v>
                </c:pt>
                <c:pt idx="204">
                  <c:v>321.27407037934501</c:v>
                </c:pt>
                <c:pt idx="205">
                  <c:v>339.34256207921163</c:v>
                </c:pt>
                <c:pt idx="206">
                  <c:v>357.16030946097283</c:v>
                </c:pt>
                <c:pt idx="207">
                  <c:v>374.73175125012062</c:v>
                </c:pt>
                <c:pt idx="208">
                  <c:v>392.06117697916005</c:v>
                </c:pt>
                <c:pt idx="209">
                  <c:v>409.15273351199926</c:v>
                </c:pt>
                <c:pt idx="210">
                  <c:v>426.01043120992881</c:v>
                </c:pt>
                <c:pt idx="211">
                  <c:v>442.63814976265553</c:v>
                </c:pt>
                <c:pt idx="212">
                  <c:v>459.03964370607497</c:v>
                </c:pt>
                <c:pt idx="213">
                  <c:v>475.21854764683849</c:v>
                </c:pt>
                <c:pt idx="214">
                  <c:v>491.17838121228226</c:v>
                </c:pt>
                <c:pt idx="215">
                  <c:v>506.92255374292114</c:v>
                </c:pt>
                <c:pt idx="216">
                  <c:v>522.45436874346012</c:v>
                </c:pt>
                <c:pt idx="217">
                  <c:v>537.77702810712992</c:v>
                </c:pt>
                <c:pt idx="218">
                  <c:v>552.89363612709826</c:v>
                </c:pt>
                <c:pt idx="219">
                  <c:v>567.80720330774102</c:v>
                </c:pt>
                <c:pt idx="220">
                  <c:v>582.52064998766696</c:v>
                </c:pt>
                <c:pt idx="221">
                  <c:v>597.03680978556679</c:v>
                </c:pt>
                <c:pt idx="222">
                  <c:v>611.3584328792042</c:v>
                </c:pt>
                <c:pt idx="223">
                  <c:v>625.48818912716638</c:v>
                </c:pt>
                <c:pt idx="224">
                  <c:v>639.42867104234813</c:v>
                </c:pt>
                <c:pt idx="225">
                  <c:v>653.18239662554959</c:v>
                </c:pt>
                <c:pt idx="226">
                  <c:v>666.75181206701609</c:v>
                </c:pt>
                <c:pt idx="227">
                  <c:v>680.1392943232388</c:v>
                </c:pt>
                <c:pt idx="228">
                  <c:v>693.34715357586549</c:v>
                </c:pt>
                <c:pt idx="229">
                  <c:v>706.37763557913161</c:v>
                </c:pt>
                <c:pt idx="230">
                  <c:v>719.23292390181655</c:v>
                </c:pt>
                <c:pt idx="231">
                  <c:v>731.91514206935449</c:v>
                </c:pt>
                <c:pt idx="232">
                  <c:v>744.42635561137945</c:v>
                </c:pt>
                <c:pt idx="233">
                  <c:v>756.76857401965856</c:v>
                </c:pt>
                <c:pt idx="234">
                  <c:v>768.94375262106632</c:v>
                </c:pt>
                <c:pt idx="235">
                  <c:v>780.95379436997064</c:v>
                </c:pt>
                <c:pt idx="236">
                  <c:v>792.80055156414016</c:v>
                </c:pt>
                <c:pt idx="237">
                  <c:v>804.48582748803756</c:v>
                </c:pt>
                <c:pt idx="238">
                  <c:v>816.01137798713648</c:v>
                </c:pt>
                <c:pt idx="239">
                  <c:v>827.37891297668716</c:v>
                </c:pt>
                <c:pt idx="240">
                  <c:v>838.59009788815729</c:v>
                </c:pt>
                <c:pt idx="241">
                  <c:v>849.64655505638984</c:v>
                </c:pt>
                <c:pt idx="242">
                  <c:v>860.54986505034594</c:v>
                </c:pt>
                <c:pt idx="243">
                  <c:v>871.30156795013932</c:v>
                </c:pt>
                <c:pt idx="244">
                  <c:v>881.90316457291681</c:v>
                </c:pt>
                <c:pt idx="245">
                  <c:v>892.35611764999828</c:v>
                </c:pt>
                <c:pt idx="246">
                  <c:v>902.66185295755554</c:v>
                </c:pt>
                <c:pt idx="247">
                  <c:v>912.82176040298509</c:v>
                </c:pt>
                <c:pt idx="248">
                  <c:v>922.83719506901411</c:v>
                </c:pt>
                <c:pt idx="249">
                  <c:v>932.70947821746779</c:v>
                </c:pt>
                <c:pt idx="250">
                  <c:v>942.43989825452365</c:v>
                </c:pt>
                <c:pt idx="251">
                  <c:v>952.02971165918234</c:v>
                </c:pt>
                <c:pt idx="252">
                  <c:v>961.48014387659305</c:v>
                </c:pt>
                <c:pt idx="253">
                  <c:v>970.79239017778627</c:v>
                </c:pt>
                <c:pt idx="254">
                  <c:v>979.96761648728636</c:v>
                </c:pt>
                <c:pt idx="255">
                  <c:v>989.00696018000099</c:v>
                </c:pt>
                <c:pt idx="256">
                  <c:v>997.91153084871257</c:v>
                </c:pt>
                <c:pt idx="257">
                  <c:v>1006.6824110434319</c:v>
                </c:pt>
                <c:pt idx="258">
                  <c:v>1015.3206569838072</c:v>
                </c:pt>
                <c:pt idx="259">
                  <c:v>1023.8272992457272</c:v>
                </c:pt>
                <c:pt idx="260">
                  <c:v>1032.2033434231957</c:v>
                </c:pt>
                <c:pt idx="261">
                  <c:v>1040.4497707665073</c:v>
                </c:pt>
                <c:pt idx="262">
                  <c:v>1048.5675387976985</c:v>
                </c:pt>
                <c:pt idx="263">
                  <c:v>1056.5575819042072</c:v>
                </c:pt>
                <c:pt idx="264">
                  <c:v>1064.4208119116236</c:v>
                </c:pt>
                <c:pt idx="265">
                  <c:v>1072.1581186363771</c:v>
                </c:pt>
                <c:pt idx="266">
                  <c:v>1079.770370419164</c:v>
                </c:pt>
                <c:pt idx="267">
                  <c:v>1087.2584146398801</c:v>
                </c:pt>
                <c:pt idx="268">
                  <c:v>1094.6230782147918</c:v>
                </c:pt>
                <c:pt idx="269">
                  <c:v>1101.8651680766411</c:v>
                </c:pt>
                <c:pt idx="270">
                  <c:v>1108.9854716383527</c:v>
                </c:pt>
                <c:pt idx="271">
                  <c:v>1115.9847572409769</c:v>
                </c:pt>
                <c:pt idx="272">
                  <c:v>1122.8637745864796</c:v>
                </c:pt>
                <c:pt idx="273">
                  <c:v>1129.6232551559563</c:v>
                </c:pt>
                <c:pt idx="274">
                  <c:v>1136.2639126138315</c:v>
                </c:pt>
                <c:pt idx="275">
                  <c:v>1142.7864431985724</c:v>
                </c:pt>
                <c:pt idx="276">
                  <c:v>1149.1915261004287</c:v>
                </c:pt>
                <c:pt idx="277">
                  <c:v>1155.4798238266876</c:v>
                </c:pt>
                <c:pt idx="278">
                  <c:v>1161.6519825549137</c:v>
                </c:pt>
                <c:pt idx="279">
                  <c:v>1167.7086324746242</c:v>
                </c:pt>
                <c:pt idx="280">
                  <c:v>1173.6503881178335</c:v>
                </c:pt>
                <c:pt idx="281">
                  <c:v>1179.4778486788839</c:v>
                </c:pt>
                <c:pt idx="282">
                  <c:v>1185.1915983239655</c:v>
                </c:pt>
                <c:pt idx="283">
                  <c:v>1190.7922064907116</c:v>
                </c:pt>
                <c:pt idx="284">
                  <c:v>1196.2802281782454</c:v>
                </c:pt>
                <c:pt idx="285">
                  <c:v>1201.6562042280416</c:v>
                </c:pt>
                <c:pt idx="286">
                  <c:v>1206.9206615959536</c:v>
                </c:pt>
                <c:pt idx="287">
                  <c:v>1212.074113615749</c:v>
                </c:pt>
                <c:pt idx="288">
                  <c:v>1217.1170602544862</c:v>
                </c:pt>
                <c:pt idx="289">
                  <c:v>1222.049988360058</c:v>
                </c:pt>
                <c:pt idx="290">
                  <c:v>1226.8733719012212</c:v>
                </c:pt>
                <c:pt idx="291">
                  <c:v>1231.5876722004245</c:v>
                </c:pt>
                <c:pt idx="292">
                  <c:v>1236.1933381597455</c:v>
                </c:pt>
                <c:pt idx="293">
                  <c:v>1240.6908064802408</c:v>
                </c:pt>
                <c:pt idx="294">
                  <c:v>1245.0805018750166</c:v>
                </c:pt>
                <c:pt idx="295">
                  <c:v>1249.3628372763205</c:v>
                </c:pt>
                <c:pt idx="296">
                  <c:v>1253.5382140369641</c:v>
                </c:pt>
                <c:pt idx="297">
                  <c:v>1257.6070221263801</c:v>
                </c:pt>
                <c:pt idx="298">
                  <c:v>1261.5696403216336</c:v>
                </c:pt>
                <c:pt idx="299">
                  <c:v>1265.4264363937018</c:v>
                </c:pt>
                <c:pt idx="300">
                  <c:v>1269.177767289355</c:v>
                </c:pt>
                <c:pt idx="301">
                  <c:v>1272.8239793089767</c:v>
                </c:pt>
                <c:pt idx="302">
                  <c:v>1276.3654082806811</c:v>
                </c:pt>
                <c:pt idx="303">
                  <c:v>1279.8023797310921</c:v>
                </c:pt>
                <c:pt idx="304">
                  <c:v>1283.1352090531809</c:v>
                </c:pt>
                <c:pt idx="305">
                  <c:v>1286.364201671573</c:v>
                </c:pt>
                <c:pt idx="306">
                  <c:v>1289.4896532057635</c:v>
                </c:pt>
                <c:pt idx="307">
                  <c:v>1292.5118496317145</c:v>
                </c:pt>
                <c:pt idx="308">
                  <c:v>1295.43106744234</c:v>
                </c:pt>
                <c:pt idx="309">
                  <c:v>1298.247573807424</c:v>
                </c:pt>
                <c:pt idx="310">
                  <c:v>1300.961626733563</c:v>
                </c:pt>
                <c:pt idx="311">
                  <c:v>1303.5734752247736</c:v>
                </c:pt>
                <c:pt idx="312">
                  <c:v>1306.0833594444616</c:v>
                </c:pt>
                <c:pt idx="313">
                  <c:v>1308.491510879508</c:v>
                </c:pt>
                <c:pt idx="314">
                  <c:v>1310.7981525072958</c:v>
                </c:pt>
                <c:pt idx="315">
                  <c:v>1313.0034989665689</c:v>
                </c:pt>
                <c:pt idx="316">
                  <c:v>1315.107756733094</c:v>
                </c:pt>
                <c:pt idx="317">
                  <c:v>1317.1111243011665</c:v>
                </c:pt>
                <c:pt idx="318">
                  <c:v>1319.0137923720883</c:v>
                </c:pt>
                <c:pt idx="319">
                  <c:v>1320.81594405082</c:v>
                </c:pt>
                <c:pt idx="320">
                  <c:v>1322.51775505208</c:v>
                </c:pt>
                <c:pt idx="321">
                  <c:v>1324.1193939172363</c:v>
                </c:pt>
                <c:pt idx="322">
                  <c:v>1325.621022243381</c:v>
                </c:pt>
                <c:pt idx="323">
                  <c:v>1327.0227949260161</c:v>
                </c:pt>
                <c:pt idx="324">
                  <c:v>1328.3248604167791</c:v>
                </c:pt>
                <c:pt idx="325">
                  <c:v>1329.5273609976141</c:v>
                </c:pt>
                <c:pt idx="326">
                  <c:v>1330.6304330727162</c:v>
                </c:pt>
                <c:pt idx="327">
                  <c:v>1331.6342074794536</c:v>
                </c:pt>
                <c:pt idx="328">
                  <c:v>1332.5388098192857</c:v>
                </c:pt>
                <c:pt idx="329">
                  <c:v>1333.3443608094392</c:v>
                </c:pt>
                <c:pt idx="330">
                  <c:v>1334.0509766557805</c:v>
                </c:pt>
                <c:pt idx="331">
                  <c:v>1334.6587694469183</c:v>
                </c:pt>
                <c:pt idx="332">
                  <c:v>1335.1678475691085</c:v>
                </c:pt>
                <c:pt idx="333">
                  <c:v>1335.5783161410031</c:v>
                </c:pt>
                <c:pt idx="334">
                  <c:v>1335.8902774667242</c:v>
                </c:pt>
                <c:pt idx="335">
                  <c:v>1336.1038315051574</c:v>
                </c:pt>
                <c:pt idx="336">
                  <c:v>1336.2190763527988</c:v>
                </c:pt>
                <c:pt idx="337">
                  <c:v>1336.2361087369588</c:v>
                </c:pt>
                <c:pt idx="338">
                  <c:v>1336.1550245156895</c:v>
                </c:pt>
                <c:pt idx="339">
                  <c:v>1335.9759191804633</c:v>
                </c:pt>
                <c:pt idx="340">
                  <c:v>1335.6988883574356</c:v>
                </c:pt>
                <c:pt idx="341">
                  <c:v>1335.3240283030686</c:v>
                </c:pt>
                <c:pt idx="342">
                  <c:v>1334.8514363899967</c:v>
                </c:pt>
                <c:pt idx="343">
                  <c:v>1334.2812115792638</c:v>
                </c:pt>
                <c:pt idx="344">
                  <c:v>1333.6134548754326</c:v>
                </c:pt>
                <c:pt idx="345">
                  <c:v>1332.8482697615457</c:v>
                </c:pt>
                <c:pt idx="346">
                  <c:v>1331.9857626114576</c:v>
                </c:pt>
                <c:pt idx="347">
                  <c:v>1331.0260430776407</c:v>
                </c:pt>
                <c:pt idx="348">
                  <c:v>1329.9692244531468</c:v>
                </c:pt>
                <c:pt idx="349">
                  <c:v>1328.8154240069639</c:v>
                </c:pt>
                <c:pt idx="350">
                  <c:v>1327.5647632925168</c:v>
                </c:pt>
                <c:pt idx="351">
                  <c:v>1326.2173684295087</c:v>
                </c:pt>
                <c:pt idx="352">
                  <c:v>1324.7733703596743</c:v>
                </c:pt>
                <c:pt idx="353">
                  <c:v>1323.2329050773169</c:v>
                </c:pt>
                <c:pt idx="354">
                  <c:v>1321.5961138357306</c:v>
                </c:pt>
                <c:pt idx="355">
                  <c:v>1319.8631433307712</c:v>
                </c:pt>
                <c:pt idx="356">
                  <c:v>1318.0341458629366</c:v>
                </c:pt>
                <c:pt idx="357">
                  <c:v>1316.1092794793781</c:v>
                </c:pt>
                <c:pt idx="358">
                  <c:v>1314.088708097265</c:v>
                </c:pt>
                <c:pt idx="359">
                  <c:v>1311.9726016099094</c:v>
                </c:pt>
                <c:pt idx="360">
                  <c:v>1309.7611359770096</c:v>
                </c:pt>
                <c:pt idx="361">
                  <c:v>1307.4544933003071</c:v>
                </c:pt>
                <c:pt idx="362">
                  <c:v>1305.0528618858759</c:v>
                </c:pt>
                <c:pt idx="363">
                  <c:v>1302.5564362941836</c:v>
                </c:pt>
                <c:pt idx="364">
                  <c:v>1299.9654173789777</c:v>
                </c:pt>
                <c:pt idx="365">
                  <c:v>1297.2800123159634</c:v>
                </c:pt>
                <c:pt idx="366">
                  <c:v>1294.5004346221647</c:v>
                </c:pt>
                <c:pt idx="367">
                  <c:v>1291.626904166769</c:v>
                </c:pt>
                <c:pt idx="368">
                  <c:v>1288.659647174195</c:v>
                </c:pt>
                <c:pt idx="369">
                  <c:v>1285.5988962200433</c:v>
                </c:pt>
                <c:pt idx="370">
                  <c:v>1282.4448902205311</c:v>
                </c:pt>
                <c:pt idx="371">
                  <c:v>1279.1978744159514</c:v>
                </c:pt>
                <c:pt idx="372">
                  <c:v>1275.8581003486486</c:v>
                </c:pt>
                <c:pt idx="373">
                  <c:v>1272.4258258359432</c:v>
                </c:pt>
                <c:pt idx="374">
                  <c:v>1268.9013149384114</c:v>
                </c:pt>
                <c:pt idx="375">
                  <c:v>1265.2848379238696</c:v>
                </c:pt>
                <c:pt idx="376">
                  <c:v>1261.5766712273921</c:v>
                </c:pt>
                <c:pt idx="377">
                  <c:v>1257.7770974076509</c:v>
                </c:pt>
                <c:pt idx="378">
                  <c:v>1253.8864050998436</c:v>
                </c:pt>
                <c:pt idx="379">
                  <c:v>1249.9048889654484</c:v>
                </c:pt>
                <c:pt idx="380">
                  <c:v>1245.8328496390241</c:v>
                </c:pt>
                <c:pt idx="381">
                  <c:v>1241.6705936722515</c:v>
                </c:pt>
                <c:pt idx="382">
                  <c:v>1237.4184334754013</c:v>
                </c:pt>
                <c:pt idx="383">
                  <c:v>1233.0766872563902</c:v>
                </c:pt>
                <c:pt idx="384">
                  <c:v>1228.6456789575777</c:v>
                </c:pt>
                <c:pt idx="385">
                  <c:v>1224.1257381904466</c:v>
                </c:pt>
                <c:pt idx="386">
                  <c:v>1219.517200168292</c:v>
                </c:pt>
                <c:pt idx="387">
                  <c:v>1214.820405637043</c:v>
                </c:pt>
                <c:pt idx="388">
                  <c:v>1210.0357008043243</c:v>
                </c:pt>
                <c:pt idx="389">
                  <c:v>1205.1634372668641</c:v>
                </c:pt>
                <c:pt idx="390">
                  <c:v>1200.2039719363443</c:v>
                </c:pt>
                <c:pt idx="391">
                  <c:v>1195.1576669637845</c:v>
                </c:pt>
                <c:pt idx="392">
                  <c:v>1190.0248896625462</c:v>
                </c:pt>
                <c:pt idx="393">
                  <c:v>1184.8060124300353</c:v>
                </c:pt>
                <c:pt idx="394">
                  <c:v>1179.501412668184</c:v>
                </c:pt>
                <c:pt idx="395">
                  <c:v>1174.1114727027825</c:v>
                </c:pt>
                <c:pt idx="396">
                  <c:v>1168.6365797017302</c:v>
                </c:pt>
                <c:pt idx="397">
                  <c:v>1163.0771255922732</c:v>
                </c:pt>
                <c:pt idx="398">
                  <c:v>1157.4335069772926</c:v>
                </c:pt>
                <c:pt idx="399">
                  <c:v>1151.7061250507038</c:v>
                </c:pt>
                <c:pt idx="400">
                  <c:v>1145.895385512026</c:v>
                </c:pt>
                <c:pt idx="401">
                  <c:v>1140.00169848018</c:v>
                </c:pt>
                <c:pt idx="402">
                  <c:v>1134.0254784065673</c:v>
                </c:pt>
                <c:pt idx="403">
                  <c:v>1127.9671439874853</c:v>
                </c:pt>
                <c:pt idx="404">
                  <c:v>1121.8271180759302</c:v>
                </c:pt>
                <c:pt idx="405">
                  <c:v>1115.6058275928378</c:v>
                </c:pt>
                <c:pt idx="406">
                  <c:v>1109.3037034378101</c:v>
                </c:pt>
                <c:pt idx="407">
                  <c:v>1102.9211803993776</c:v>
                </c:pt>
                <c:pt idx="408">
                  <c:v>1096.4586970648415</c:v>
                </c:pt>
                <c:pt idx="409">
                  <c:v>1089.916695729743</c:v>
                </c:pt>
                <c:pt idx="410">
                  <c:v>1083.2956223070028</c:v>
                </c:pt>
                <c:pt idx="411">
                  <c:v>1076.5959262357749</c:v>
                </c:pt>
                <c:pt idx="412">
                  <c:v>1069.8180603900576</c:v>
                </c:pt>
                <c:pt idx="413">
                  <c:v>1062.962480987102</c:v>
                </c:pt>
                <c:pt idx="414">
                  <c:v>1056.0296474956597</c:v>
                </c:pt>
                <c:pt idx="415">
                  <c:v>1049.0200225441092</c:v>
                </c:pt>
                <c:pt idx="416">
                  <c:v>1041.9340718285016</c:v>
                </c:pt>
                <c:pt idx="417">
                  <c:v>1034.7722640205607</c:v>
                </c:pt>
                <c:pt idx="418">
                  <c:v>1027.5350706756778</c:v>
                </c:pt>
                <c:pt idx="419">
                  <c:v>1020.2229661409385</c:v>
                </c:pt>
                <c:pt idx="420">
                  <c:v>1012.8364274632144</c:v>
                </c:pt>
                <c:pt idx="421">
                  <c:v>1005.3759342973584</c:v>
                </c:pt>
                <c:pt idx="422">
                  <c:v>997.84196881453704</c:v>
                </c:pt>
                <c:pt idx="423">
                  <c:v>990.23501561073329</c:v>
                </c:pt>
                <c:pt idx="424">
                  <c:v>982.55556161545417</c:v>
                </c:pt>
                <c:pt idx="425">
                  <c:v>974.80409600067549</c:v>
                </c:pt>
                <c:pt idx="426">
                  <c:v>966.98111009005538</c:v>
                </c:pt>
                <c:pt idx="427">
                  <c:v>959.08709726844813</c:v>
                </c:pt>
                <c:pt idx="428">
                  <c:v>951.12255289174925</c:v>
                </c:pt>
                <c:pt idx="429">
                  <c:v>943.08797419710118</c:v>
                </c:pt>
                <c:pt idx="430">
                  <c:v>934.98386021348927</c:v>
                </c:pt>
                <c:pt idx="431">
                  <c:v>926.81071167275638</c:v>
                </c:pt>
                <c:pt idx="432">
                  <c:v>918.56903092106461</c:v>
                </c:pt>
                <c:pt idx="433">
                  <c:v>910.25932183083069</c:v>
                </c:pt>
                <c:pt idx="434">
                  <c:v>901.88208971316203</c:v>
                </c:pt>
                <c:pt idx="435">
                  <c:v>893.43784123081946</c:v>
                </c:pt>
                <c:pt idx="436">
                  <c:v>884.92708431173196</c:v>
                </c:pt>
                <c:pt idx="437">
                  <c:v>876.3503280630872</c:v>
                </c:pt>
                <c:pt idx="438">
                  <c:v>867.70808268602309</c:v>
                </c:pt>
                <c:pt idx="439">
                  <c:v>859.00085939094288</c:v>
                </c:pt>
                <c:pt idx="440">
                  <c:v>850.22917031347595</c:v>
                </c:pt>
                <c:pt idx="441">
                  <c:v>841.3935284311076</c:v>
                </c:pt>
                <c:pt idx="442">
                  <c:v>832.49444748049757</c:v>
                </c:pt>
                <c:pt idx="443">
                  <c:v>823.53244187550877</c:v>
                </c:pt>
                <c:pt idx="444">
                  <c:v>814.50802662596618</c:v>
                </c:pt>
                <c:pt idx="445">
                  <c:v>805.42171725716491</c:v>
                </c:pt>
                <c:pt idx="446">
                  <c:v>796.2740297301458</c:v>
                </c:pt>
                <c:pt idx="447">
                  <c:v>787.06548036275706</c:v>
                </c:pt>
                <c:pt idx="448">
                  <c:v>777.79658575151893</c:v>
                </c:pt>
                <c:pt idx="449">
                  <c:v>768.46786269430788</c:v>
                </c:pt>
                <c:pt idx="450">
                  <c:v>759.07982811387672</c:v>
                </c:pt>
                <c:pt idx="451">
                  <c:v>749.63299898222522</c:v>
                </c:pt>
                <c:pt idx="452">
                  <c:v>740.12789224583707</c:v>
                </c:pt>
                <c:pt idx="453">
                  <c:v>730.56502475179582</c:v>
                </c:pt>
                <c:pt idx="454">
                  <c:v>720.94491317479424</c:v>
                </c:pt>
                <c:pt idx="455">
                  <c:v>711.26807394504965</c:v>
                </c:pt>
                <c:pt idx="456">
                  <c:v>701.53502317713674</c:v>
                </c:pt>
                <c:pt idx="457">
                  <c:v>691.74627659975044</c:v>
                </c:pt>
                <c:pt idx="458">
                  <c:v>681.90234948640853</c:v>
                </c:pt>
                <c:pt idx="459">
                  <c:v>672.00375658710516</c:v>
                </c:pt>
                <c:pt idx="460">
                  <c:v>662.05101206092456</c:v>
                </c:pt>
                <c:pt idx="461">
                  <c:v>652.04462940962412</c:v>
                </c:pt>
                <c:pt idx="462">
                  <c:v>641.98512141219487</c:v>
                </c:pt>
                <c:pt idx="463">
                  <c:v>631.87300006040789</c:v>
                </c:pt>
                <c:pt idx="464">
                  <c:v>621.70877649535328</c:v>
                </c:pt>
                <c:pt idx="465">
                  <c:v>611.49296094497913</c:v>
                </c:pt>
                <c:pt idx="466">
                  <c:v>601.22606266263551</c:v>
                </c:pt>
                <c:pt idx="467">
                  <c:v>590.90858986663045</c:v>
                </c:pt>
                <c:pt idx="468">
                  <c:v>580.54104968080151</c:v>
                </c:pt>
                <c:pt idx="469">
                  <c:v>570.12394807610826</c:v>
                </c:pt>
                <c:pt idx="470">
                  <c:v>559.65778981324945</c:v>
                </c:pt>
                <c:pt idx="471">
                  <c:v>549.14307838630828</c:v>
                </c:pt>
                <c:pt idx="472">
                  <c:v>538.58031596742831</c:v>
                </c:pt>
                <c:pt idx="473">
                  <c:v>527.97000335252278</c:v>
                </c:pt>
                <c:pt idx="474">
                  <c:v>517.3126399080187</c:v>
                </c:pt>
                <c:pt idx="475">
                  <c:v>506.60872351863782</c:v>
                </c:pt>
                <c:pt idx="476">
                  <c:v>495.85875053621459</c:v>
                </c:pt>
                <c:pt idx="477">
                  <c:v>485.06321572955198</c:v>
                </c:pt>
                <c:pt idx="478">
                  <c:v>474.22261223531467</c:v>
                </c:pt>
                <c:pt idx="479">
                  <c:v>463.33743150995963</c:v>
                </c:pt>
                <c:pt idx="480">
                  <c:v>452.40816328270256</c:v>
                </c:pt>
                <c:pt idx="481">
                  <c:v>441.43529550951916</c:v>
                </c:pt>
                <c:pt idx="482">
                  <c:v>430.41931432817921</c:v>
                </c:pt>
                <c:pt idx="483">
                  <c:v>419.36070401431112</c:v>
                </c:pt>
                <c:pt idx="484">
                  <c:v>408.25994693849441</c:v>
                </c:pt>
                <c:pt idx="485">
                  <c:v>397.11752352437719</c:v>
                </c:pt>
                <c:pt idx="486">
                  <c:v>385.93391220781467</c:v>
                </c:pt>
                <c:pt idx="487">
                  <c:v>374.70958939702547</c:v>
                </c:pt>
                <c:pt idx="488">
                  <c:v>363.44502943376108</c:v>
                </c:pt>
                <c:pt idx="489">
                  <c:v>352.14070455548421</c:v>
                </c:pt>
                <c:pt idx="490">
                  <c:v>340.79708485855076</c:v>
                </c:pt>
                <c:pt idx="491">
                  <c:v>329.41463826239061</c:v>
                </c:pt>
                <c:pt idx="492">
                  <c:v>317.99383047468115</c:v>
                </c:pt>
                <c:pt idx="493">
                  <c:v>306.53512495750829</c:v>
                </c:pt>
                <c:pt idx="494">
                  <c:v>295.03898289450791</c:v>
                </c:pt>
                <c:pt idx="495">
                  <c:v>283.50586315898215</c:v>
                </c:pt>
                <c:pt idx="496">
                  <c:v>271.93622228298307</c:v>
                </c:pt>
                <c:pt idx="497">
                  <c:v>260.33051442735689</c:v>
                </c:pt>
                <c:pt idx="498">
                  <c:v>248.68919135274152</c:v>
                </c:pt>
                <c:pt idx="499">
                  <c:v>237.01270239150983</c:v>
                </c:pt>
                <c:pt idx="500">
                  <c:v>225.3014944206505</c:v>
                </c:pt>
                <c:pt idx="501">
                  <c:v>213.55601183557886</c:v>
                </c:pt>
                <c:pt idx="502">
                  <c:v>201.77669652486892</c:v>
                </c:pt>
                <c:pt idx="503">
                  <c:v>189.96398784589863</c:v>
                </c:pt>
                <c:pt idx="504">
                  <c:v>178.11832260139906</c:v>
                </c:pt>
                <c:pt idx="505">
                  <c:v>166.24013501689907</c:v>
                </c:pt>
                <c:pt idx="506">
                  <c:v>154.32985671905604</c:v>
                </c:pt>
                <c:pt idx="507">
                  <c:v>142.38791671486348</c:v>
                </c:pt>
                <c:pt idx="508">
                  <c:v>130.41474137172617</c:v>
                </c:pt>
                <c:pt idx="509">
                  <c:v>118.4107543983929</c:v>
                </c:pt>
                <c:pt idx="510">
                  <c:v>106.37637682673738</c:v>
                </c:pt>
                <c:pt idx="511">
                  <c:v>94.31202699437722</c:v>
                </c:pt>
                <c:pt idx="512">
                  <c:v>82.218120528120721</c:v>
                </c:pt>
                <c:pt idx="513">
                  <c:v>70.095070328231827</c:v>
                </c:pt>
                <c:pt idx="514">
                  <c:v>57.943286553502297</c:v>
                </c:pt>
                <c:pt idx="515">
                  <c:v>45.763176607121189</c:v>
                </c:pt>
                <c:pt idx="516">
                  <c:v>33.555145123330803</c:v>
                </c:pt>
                <c:pt idx="517">
                  <c:v>21.319593954858657</c:v>
                </c:pt>
                <c:pt idx="518">
                  <c:v>9.0569221611146666</c:v>
                </c:pt>
                <c:pt idx="519">
                  <c:v>-3.232474002857165</c:v>
                </c:pt>
                <c:pt idx="520">
                  <c:v>-3.2447766755611598</c:v>
                </c:pt>
                <c:pt idx="521">
                  <c:v>-3.2570793743998752</c:v>
                </c:pt>
                <c:pt idx="522">
                  <c:v>-3.2693820993729226</c:v>
                </c:pt>
                <c:pt idx="523">
                  <c:v>-3.2816848504799134</c:v>
                </c:pt>
                <c:pt idx="524">
                  <c:v>-3.2939876277204601</c:v>
                </c:pt>
                <c:pt idx="525">
                  <c:v>-3.3062904310941734</c:v>
                </c:pt>
                <c:pt idx="526">
                  <c:v>-3.3185932606006654</c:v>
                </c:pt>
                <c:pt idx="527">
                  <c:v>-3.3308961162395478</c:v>
                </c:pt>
                <c:pt idx="528">
                  <c:v>-3.3431989980104322</c:v>
                </c:pt>
                <c:pt idx="529">
                  <c:v>-3.3555019059129303</c:v>
                </c:pt>
                <c:pt idx="530">
                  <c:v>-3.367804839946654</c:v>
                </c:pt>
                <c:pt idx="531">
                  <c:v>-3.3801078001112148</c:v>
                </c:pt>
                <c:pt idx="532">
                  <c:v>-3.3924107864062241</c:v>
                </c:pt>
                <c:pt idx="533">
                  <c:v>-3.4047137988312941</c:v>
                </c:pt>
                <c:pt idx="534">
                  <c:v>-3.4170168373860359</c:v>
                </c:pt>
                <c:pt idx="535">
                  <c:v>-3.4293199020700618</c:v>
                </c:pt>
                <c:pt idx="536">
                  <c:v>-3.4416229928829831</c:v>
                </c:pt>
                <c:pt idx="537">
                  <c:v>-3.4539261098244114</c:v>
                </c:pt>
                <c:pt idx="538">
                  <c:v>-3.4662292528939589</c:v>
                </c:pt>
                <c:pt idx="539">
                  <c:v>-3.478532422091237</c:v>
                </c:pt>
                <c:pt idx="540">
                  <c:v>-3.4908356174158572</c:v>
                </c:pt>
                <c:pt idx="541">
                  <c:v>-3.5031388388674314</c:v>
                </c:pt>
                <c:pt idx="542">
                  <c:v>-3.5154420864455713</c:v>
                </c:pt>
                <c:pt idx="543">
                  <c:v>-3.5277453601498885</c:v>
                </c:pt>
                <c:pt idx="544">
                  <c:v>-3.5400486599799947</c:v>
                </c:pt>
                <c:pt idx="545">
                  <c:v>-3.5523519859355019</c:v>
                </c:pt>
                <c:pt idx="546">
                  <c:v>-3.564655338016022</c:v>
                </c:pt>
                <c:pt idx="547">
                  <c:v>-3.5769587162211662</c:v>
                </c:pt>
                <c:pt idx="548">
                  <c:v>-3.5892621205505466</c:v>
                </c:pt>
                <c:pt idx="549">
                  <c:v>-3.6015655510037745</c:v>
                </c:pt>
                <c:pt idx="550">
                  <c:v>-3.6138690075804618</c:v>
                </c:pt>
                <c:pt idx="551">
                  <c:v>-3.6261724902802204</c:v>
                </c:pt>
                <c:pt idx="552">
                  <c:v>-3.6384759991026621</c:v>
                </c:pt>
                <c:pt idx="553">
                  <c:v>-3.6507795340473983</c:v>
                </c:pt>
                <c:pt idx="554">
                  <c:v>-3.663083095114041</c:v>
                </c:pt>
                <c:pt idx="555">
                  <c:v>-3.6753866823022019</c:v>
                </c:pt>
                <c:pt idx="556">
                  <c:v>-3.6876902956114925</c:v>
                </c:pt>
                <c:pt idx="557">
                  <c:v>-3.6999939350415252</c:v>
                </c:pt>
                <c:pt idx="558">
                  <c:v>-3.7122976005919113</c:v>
                </c:pt>
                <c:pt idx="559">
                  <c:v>-3.7246012922622622</c:v>
                </c:pt>
                <c:pt idx="560">
                  <c:v>-3.7369050100521903</c:v>
                </c:pt>
                <c:pt idx="561">
                  <c:v>-3.749208753961307</c:v>
                </c:pt>
                <c:pt idx="562">
                  <c:v>-3.7615125239892242</c:v>
                </c:pt>
                <c:pt idx="563">
                  <c:v>-3.7738163201355537</c:v>
                </c:pt>
                <c:pt idx="564">
                  <c:v>-3.7861201423999074</c:v>
                </c:pt>
                <c:pt idx="565">
                  <c:v>-3.7984239907818966</c:v>
                </c:pt>
                <c:pt idx="566">
                  <c:v>-3.8107278652811334</c:v>
                </c:pt>
                <c:pt idx="567">
                  <c:v>-3.8230317658972295</c:v>
                </c:pt>
                <c:pt idx="568">
                  <c:v>-3.8353356926297968</c:v>
                </c:pt>
                <c:pt idx="569">
                  <c:v>-3.8476396454784472</c:v>
                </c:pt>
                <c:pt idx="570">
                  <c:v>-3.859943624442792</c:v>
                </c:pt>
                <c:pt idx="571">
                  <c:v>-3.8722476295224433</c:v>
                </c:pt>
                <c:pt idx="572">
                  <c:v>-3.8845516607170127</c:v>
                </c:pt>
                <c:pt idx="573">
                  <c:v>-3.8968557180261123</c:v>
                </c:pt>
                <c:pt idx="574">
                  <c:v>-3.9091598014493538</c:v>
                </c:pt>
                <c:pt idx="575">
                  <c:v>-3.9214639109863492</c:v>
                </c:pt>
                <c:pt idx="576">
                  <c:v>-3.9337680466367098</c:v>
                </c:pt>
                <c:pt idx="577">
                  <c:v>-3.9460722084000479</c:v>
                </c:pt>
                <c:pt idx="578">
                  <c:v>-3.958376396275975</c:v>
                </c:pt>
                <c:pt idx="579">
                  <c:v>-3.970680610264103</c:v>
                </c:pt>
                <c:pt idx="580">
                  <c:v>-3.9829848503640437</c:v>
                </c:pt>
                <c:pt idx="581">
                  <c:v>-3.995289116575409</c:v>
                </c:pt>
                <c:pt idx="582">
                  <c:v>-4.0075934088978107</c:v>
                </c:pt>
                <c:pt idx="583">
                  <c:v>-4.0198977273308607</c:v>
                </c:pt>
                <c:pt idx="584">
                  <c:v>-4.0322020718741705</c:v>
                </c:pt>
                <c:pt idx="585">
                  <c:v>-4.0445064425273518</c:v>
                </c:pt>
                <c:pt idx="586">
                  <c:v>-4.0568108392900175</c:v>
                </c:pt>
                <c:pt idx="587">
                  <c:v>-4.0691152621617785</c:v>
                </c:pt>
                <c:pt idx="588">
                  <c:v>-4.0814197111422468</c:v>
                </c:pt>
                <c:pt idx="589">
                  <c:v>-4.0937241862310341</c:v>
                </c:pt>
                <c:pt idx="590">
                  <c:v>-4.1060286874277523</c:v>
                </c:pt>
                <c:pt idx="591">
                  <c:v>-4.1183332147320133</c:v>
                </c:pt>
                <c:pt idx="592">
                  <c:v>-4.130637768143429</c:v>
                </c:pt>
                <c:pt idx="593">
                  <c:v>-4.1429423476616121</c:v>
                </c:pt>
                <c:pt idx="594">
                  <c:v>-4.1552469532861736</c:v>
                </c:pt>
                <c:pt idx="595">
                  <c:v>-4.1675515850167253</c:v>
                </c:pt>
                <c:pt idx="596">
                  <c:v>-4.1798562428528792</c:v>
                </c:pt>
                <c:pt idx="597">
                  <c:v>-4.192160926794247</c:v>
                </c:pt>
                <c:pt idx="598">
                  <c:v>-4.2044656368404407</c:v>
                </c:pt>
                <c:pt idx="599">
                  <c:v>-4.2167703729910722</c:v>
                </c:pt>
                <c:pt idx="600">
                  <c:v>-4.2290751352457532</c:v>
                </c:pt>
                <c:pt idx="601">
                  <c:v>-4.2413799236040957</c:v>
                </c:pt>
                <c:pt idx="602">
                  <c:v>-4.2536847380657115</c:v>
                </c:pt>
                <c:pt idx="603">
                  <c:v>-4.2659895786302124</c:v>
                </c:pt>
                <c:pt idx="604">
                  <c:v>-4.2782944452972105</c:v>
                </c:pt>
                <c:pt idx="605">
                  <c:v>-4.2905993380663174</c:v>
                </c:pt>
                <c:pt idx="606">
                  <c:v>-4.3029042569371452</c:v>
                </c:pt>
                <c:pt idx="607">
                  <c:v>-4.3152092019093056</c:v>
                </c:pt>
                <c:pt idx="608">
                  <c:v>-4.3275141729824114</c:v>
                </c:pt>
                <c:pt idx="609">
                  <c:v>-4.3398191701560735</c:v>
                </c:pt>
                <c:pt idx="610">
                  <c:v>-4.352124193429904</c:v>
                </c:pt>
                <c:pt idx="611">
                  <c:v>-4.3644292428035154</c:v>
                </c:pt>
                <c:pt idx="612">
                  <c:v>-4.3767343182765188</c:v>
                </c:pt>
                <c:pt idx="613">
                  <c:v>-4.3890394198485261</c:v>
                </c:pt>
                <c:pt idx="614">
                  <c:v>-4.4013445475191499</c:v>
                </c:pt>
                <c:pt idx="615">
                  <c:v>-4.4136497012880014</c:v>
                </c:pt>
                <c:pt idx="616">
                  <c:v>-4.4259548811546932</c:v>
                </c:pt>
                <c:pt idx="617">
                  <c:v>-4.4382600871188362</c:v>
                </c:pt>
                <c:pt idx="618">
                  <c:v>-4.4505653191800434</c:v>
                </c:pt>
                <c:pt idx="619">
                  <c:v>-4.4628705773379265</c:v>
                </c:pt>
                <c:pt idx="620">
                  <c:v>-4.4751758615920973</c:v>
                </c:pt>
                <c:pt idx="621">
                  <c:v>-4.4874811719421679</c:v>
                </c:pt>
                <c:pt idx="622">
                  <c:v>-4.49978650838775</c:v>
                </c:pt>
                <c:pt idx="623">
                  <c:v>-4.5120918709284554</c:v>
                </c:pt>
                <c:pt idx="624">
                  <c:v>-4.5243972595638962</c:v>
                </c:pt>
                <c:pt idx="625">
                  <c:v>-4.536702674293684</c:v>
                </c:pt>
                <c:pt idx="626">
                  <c:v>-4.5490081151174309</c:v>
                </c:pt>
                <c:pt idx="627">
                  <c:v>-4.5613135820347495</c:v>
                </c:pt>
                <c:pt idx="628">
                  <c:v>-4.5736190750452508</c:v>
                </c:pt>
                <c:pt idx="629">
                  <c:v>-4.5859245941485476</c:v>
                </c:pt>
                <c:pt idx="630">
                  <c:v>-4.5982301393442517</c:v>
                </c:pt>
                <c:pt idx="631">
                  <c:v>-4.6105357106319742</c:v>
                </c:pt>
                <c:pt idx="632">
                  <c:v>-4.6228413080113278</c:v>
                </c:pt>
                <c:pt idx="633">
                  <c:v>-4.6351469314819242</c:v>
                </c:pt>
                <c:pt idx="634">
                  <c:v>-4.6474525810433756</c:v>
                </c:pt>
                <c:pt idx="635">
                  <c:v>-4.6597582566952944</c:v>
                </c:pt>
                <c:pt idx="636">
                  <c:v>-4.6720639584372918</c:v>
                </c:pt>
                <c:pt idx="637">
                  <c:v>-4.6843696862689796</c:v>
                </c:pt>
                <c:pt idx="638">
                  <c:v>-4.6966754401899706</c:v>
                </c:pt>
                <c:pt idx="639">
                  <c:v>-4.7089812201998766</c:v>
                </c:pt>
                <c:pt idx="640">
                  <c:v>-4.7212870262983095</c:v>
                </c:pt>
                <c:pt idx="641">
                  <c:v>-4.7335928584848812</c:v>
                </c:pt>
                <c:pt idx="642">
                  <c:v>-4.7458987167592035</c:v>
                </c:pt>
                <c:pt idx="643">
                  <c:v>-4.7582046011208883</c:v>
                </c:pt>
                <c:pt idx="644">
                  <c:v>-4.7705105115695483</c:v>
                </c:pt>
                <c:pt idx="645">
                  <c:v>-4.7828164481047946</c:v>
                </c:pt>
                <c:pt idx="646">
                  <c:v>-4.7951224107262398</c:v>
                </c:pt>
                <c:pt idx="647">
                  <c:v>-4.8074283994334959</c:v>
                </c:pt>
                <c:pt idx="648">
                  <c:v>-4.8197344142261747</c:v>
                </c:pt>
                <c:pt idx="649">
                  <c:v>-4.832040455103888</c:v>
                </c:pt>
                <c:pt idx="650">
                  <c:v>-4.8443465220662487</c:v>
                </c:pt>
                <c:pt idx="651">
                  <c:v>-4.8566526151128677</c:v>
                </c:pt>
                <c:pt idx="652">
                  <c:v>-4.8689587342433578</c:v>
                </c:pt>
                <c:pt idx="653">
                  <c:v>-4.8812648794573308</c:v>
                </c:pt>
                <c:pt idx="654">
                  <c:v>-4.8935710507543986</c:v>
                </c:pt>
                <c:pt idx="655">
                  <c:v>-4.905877248134173</c:v>
                </c:pt>
                <c:pt idx="656">
                  <c:v>-4.918183471596266</c:v>
                </c:pt>
                <c:pt idx="657">
                  <c:v>-4.9304897211402903</c:v>
                </c:pt>
                <c:pt idx="658">
                  <c:v>-4.9427959967658577</c:v>
                </c:pt>
                <c:pt idx="659">
                  <c:v>-4.9551022984725801</c:v>
                </c:pt>
                <c:pt idx="660">
                  <c:v>-4.9674086262600694</c:v>
                </c:pt>
                <c:pt idx="661">
                  <c:v>-4.9797149801279375</c:v>
                </c:pt>
                <c:pt idx="662">
                  <c:v>-4.992021360075797</c:v>
                </c:pt>
                <c:pt idx="663">
                  <c:v>-5.0043277661032599</c:v>
                </c:pt>
                <c:pt idx="664">
                  <c:v>-5.0166341982099381</c:v>
                </c:pt>
                <c:pt idx="665">
                  <c:v>-5.0289406563954433</c:v>
                </c:pt>
                <c:pt idx="666">
                  <c:v>-5.0412471406593875</c:v>
                </c:pt>
                <c:pt idx="667">
                  <c:v>-5.0535536510013834</c:v>
                </c:pt>
                <c:pt idx="668">
                  <c:v>-5.0658601874210429</c:v>
                </c:pt>
                <c:pt idx="669">
                  <c:v>-5.0781667499179779</c:v>
                </c:pt>
                <c:pt idx="670">
                  <c:v>-5.0904733384918002</c:v>
                </c:pt>
                <c:pt idx="671">
                  <c:v>-5.1027799531421225</c:v>
                </c:pt>
                <c:pt idx="672">
                  <c:v>-5.1150865938685568</c:v>
                </c:pt>
                <c:pt idx="673">
                  <c:v>-5.1273932606707149</c:v>
                </c:pt>
                <c:pt idx="674">
                  <c:v>-5.1396999535482086</c:v>
                </c:pt>
                <c:pt idx="675">
                  <c:v>-5.1520066725006508</c:v>
                </c:pt>
                <c:pt idx="676">
                  <c:v>-5.1643134175276524</c:v>
                </c:pt>
                <c:pt idx="677">
                  <c:v>-5.1766201886288261</c:v>
                </c:pt>
                <c:pt idx="678">
                  <c:v>-5.1889269858037848</c:v>
                </c:pt>
                <c:pt idx="679">
                  <c:v>-5.2012338090521393</c:v>
                </c:pt>
                <c:pt idx="680">
                  <c:v>-5.2135406583735024</c:v>
                </c:pt>
                <c:pt idx="681">
                  <c:v>-5.2258475337674861</c:v>
                </c:pt>
                <c:pt idx="682">
                  <c:v>-5.2381544352337022</c:v>
                </c:pt>
                <c:pt idx="683">
                  <c:v>-5.2504613627717633</c:v>
                </c:pt>
                <c:pt idx="684">
                  <c:v>-5.2627683163812815</c:v>
                </c:pt>
                <c:pt idx="685">
                  <c:v>-5.2750752960618685</c:v>
                </c:pt>
                <c:pt idx="686">
                  <c:v>-5.2873823018131363</c:v>
                </c:pt>
                <c:pt idx="687">
                  <c:v>-5.2996893336346975</c:v>
                </c:pt>
                <c:pt idx="688">
                  <c:v>-5.3119963915261641</c:v>
                </c:pt>
                <c:pt idx="689">
                  <c:v>-5.3243034754871479</c:v>
                </c:pt>
                <c:pt idx="690">
                  <c:v>-5.3366105855172608</c:v>
                </c:pt>
                <c:pt idx="691">
                  <c:v>-5.3489177216161155</c:v>
                </c:pt>
                <c:pt idx="692">
                  <c:v>-5.3612248837833238</c:v>
                </c:pt>
                <c:pt idx="693">
                  <c:v>-5.3735320720184987</c:v>
                </c:pt>
                <c:pt idx="694">
                  <c:v>-5.3858392863212519</c:v>
                </c:pt>
                <c:pt idx="695">
                  <c:v>-5.3981465266911952</c:v>
                </c:pt>
                <c:pt idx="696">
                  <c:v>-5.4104537931279406</c:v>
                </c:pt>
                <c:pt idx="697">
                  <c:v>-5.4227610856311008</c:v>
                </c:pt>
                <c:pt idx="698">
                  <c:v>-5.4350684042002877</c:v>
                </c:pt>
                <c:pt idx="699">
                  <c:v>-5.4473757488351131</c:v>
                </c:pt>
                <c:pt idx="700">
                  <c:v>-5.4596831195351889</c:v>
                </c:pt>
                <c:pt idx="701">
                  <c:v>-5.4719905163001279</c:v>
                </c:pt>
                <c:pt idx="702">
                  <c:v>-5.4842979391295428</c:v>
                </c:pt>
                <c:pt idx="703">
                  <c:v>-5.4966053880230445</c:v>
                </c:pt>
                <c:pt idx="704">
                  <c:v>-5.508912862980246</c:v>
                </c:pt>
                <c:pt idx="705">
                  <c:v>-5.5212203640007589</c:v>
                </c:pt>
                <c:pt idx="706">
                  <c:v>-5.5335278910841961</c:v>
                </c:pt>
                <c:pt idx="707">
                  <c:v>-5.5458354442301694</c:v>
                </c:pt>
                <c:pt idx="708">
                  <c:v>-5.5581430234382907</c:v>
                </c:pt>
                <c:pt idx="709">
                  <c:v>-5.5704506287081728</c:v>
                </c:pt>
                <c:pt idx="710">
                  <c:v>-5.5827582600394274</c:v>
                </c:pt>
                <c:pt idx="711">
                  <c:v>-5.5950659174316666</c:v>
                </c:pt>
                <c:pt idx="712">
                  <c:v>-5.607373600884503</c:v>
                </c:pt>
                <c:pt idx="713">
                  <c:v>-5.6196813103975485</c:v>
                </c:pt>
                <c:pt idx="714">
                  <c:v>-5.6319890459704149</c:v>
                </c:pt>
                <c:pt idx="715">
                  <c:v>-5.6442968076027151</c:v>
                </c:pt>
                <c:pt idx="716">
                  <c:v>-5.6566045952940618</c:v>
                </c:pt>
                <c:pt idx="717">
                  <c:v>-5.6689124090440659</c:v>
                </c:pt>
                <c:pt idx="718">
                  <c:v>-5.6812202488523402</c:v>
                </c:pt>
                <c:pt idx="719">
                  <c:v>-5.6935281147184966</c:v>
                </c:pt>
                <c:pt idx="720">
                  <c:v>-5.7058360066421479</c:v>
                </c:pt>
                <c:pt idx="721">
                  <c:v>-5.7181439246229058</c:v>
                </c:pt>
                <c:pt idx="722">
                  <c:v>-5.7304518686603831</c:v>
                </c:pt>
                <c:pt idx="723">
                  <c:v>-5.7427598387541918</c:v>
                </c:pt>
                <c:pt idx="724">
                  <c:v>-5.7550678349039437</c:v>
                </c:pt>
                <c:pt idx="725">
                  <c:v>-5.7673758571092506</c:v>
                </c:pt>
                <c:pt idx="726">
                  <c:v>-5.7796839053697262</c:v>
                </c:pt>
                <c:pt idx="727">
                  <c:v>-5.7919919796849815</c:v>
                </c:pt>
                <c:pt idx="728">
                  <c:v>-5.8043000800546292</c:v>
                </c:pt>
                <c:pt idx="729">
                  <c:v>-5.8166082064782811</c:v>
                </c:pt>
                <c:pt idx="730">
                  <c:v>-5.8289163589555502</c:v>
                </c:pt>
                <c:pt idx="731">
                  <c:v>-5.8412245374860481</c:v>
                </c:pt>
                <c:pt idx="732">
                  <c:v>-5.8535327420693877</c:v>
                </c:pt>
                <c:pt idx="733">
                  <c:v>-5.8658409727051808</c:v>
                </c:pt>
                <c:pt idx="734">
                  <c:v>-5.8781492293930393</c:v>
                </c:pt>
                <c:pt idx="735">
                  <c:v>-5.890457512132576</c:v>
                </c:pt>
                <c:pt idx="736">
                  <c:v>-5.9027658209234026</c:v>
                </c:pt>
                <c:pt idx="737">
                  <c:v>-5.9150741557651321</c:v>
                </c:pt>
                <c:pt idx="738">
                  <c:v>-5.9273825166573761</c:v>
                </c:pt>
                <c:pt idx="739">
                  <c:v>-5.9396909035997476</c:v>
                </c:pt>
                <c:pt idx="740">
                  <c:v>-5.9519993165918583</c:v>
                </c:pt>
                <c:pt idx="741">
                  <c:v>-5.9643077556333211</c:v>
                </c:pt>
                <c:pt idx="742">
                  <c:v>-5.9766162207237468</c:v>
                </c:pt>
                <c:pt idx="743">
                  <c:v>-5.9889247118627491</c:v>
                </c:pt>
                <c:pt idx="744">
                  <c:v>-6.0012332290499399</c:v>
                </c:pt>
                <c:pt idx="745">
                  <c:v>-6.0135417722849311</c:v>
                </c:pt>
                <c:pt idx="746">
                  <c:v>-6.0258503415673355</c:v>
                </c:pt>
                <c:pt idx="747">
                  <c:v>-6.0381589368967648</c:v>
                </c:pt>
                <c:pt idx="748">
                  <c:v>-6.0504675582728318</c:v>
                </c:pt>
                <c:pt idx="749">
                  <c:v>-6.0627762056951484</c:v>
                </c:pt>
                <c:pt idx="750">
                  <c:v>-6.0750848791633274</c:v>
                </c:pt>
                <c:pt idx="751">
                  <c:v>-6.0873935786769806</c:v>
                </c:pt>
                <c:pt idx="752">
                  <c:v>-6.0997023042357208</c:v>
                </c:pt>
                <c:pt idx="753">
                  <c:v>-6.1120110558391598</c:v>
                </c:pt>
                <c:pt idx="754">
                  <c:v>-6.1243198334869104</c:v>
                </c:pt>
                <c:pt idx="755">
                  <c:v>-6.1366286371785845</c:v>
                </c:pt>
                <c:pt idx="756">
                  <c:v>-6.1489374669137948</c:v>
                </c:pt>
                <c:pt idx="757">
                  <c:v>-6.1612463226921532</c:v>
                </c:pt>
                <c:pt idx="758">
                  <c:v>-6.1735552045132724</c:v>
                </c:pt>
                <c:pt idx="759">
                  <c:v>-6.1858641123767644</c:v>
                </c:pt>
                <c:pt idx="760">
                  <c:v>-6.1981730462822417</c:v>
                </c:pt>
                <c:pt idx="761">
                  <c:v>-6.2104820062293165</c:v>
                </c:pt>
                <c:pt idx="762">
                  <c:v>-6.2227909922176003</c:v>
                </c:pt>
                <c:pt idx="763">
                  <c:v>-6.2351000042467071</c:v>
                </c:pt>
                <c:pt idx="764">
                  <c:v>-6.2474090423162476</c:v>
                </c:pt>
                <c:pt idx="765">
                  <c:v>-6.2597181064258356</c:v>
                </c:pt>
                <c:pt idx="766">
                  <c:v>-6.2720271965750829</c:v>
                </c:pt>
                <c:pt idx="767">
                  <c:v>-6.2843363127636014</c:v>
                </c:pt>
                <c:pt idx="768">
                  <c:v>-6.2966454549910038</c:v>
                </c:pt>
                <c:pt idx="769">
                  <c:v>-6.308954623256902</c:v>
                </c:pt>
                <c:pt idx="770">
                  <c:v>-6.3212638175609088</c:v>
                </c:pt>
                <c:pt idx="771">
                  <c:v>-6.3335730379026369</c:v>
                </c:pt>
                <c:pt idx="772">
                  <c:v>-6.3458822842816982</c:v>
                </c:pt>
                <c:pt idx="773">
                  <c:v>-6.3581915566977054</c:v>
                </c:pt>
                <c:pt idx="774">
                  <c:v>-6.3705008551502704</c:v>
                </c:pt>
                <c:pt idx="775">
                  <c:v>-6.382810179639006</c:v>
                </c:pt>
                <c:pt idx="776">
                  <c:v>-6.395119530163524</c:v>
                </c:pt>
                <c:pt idx="777">
                  <c:v>-6.4074289067234371</c:v>
                </c:pt>
                <c:pt idx="778">
                  <c:v>-6.4197383093183573</c:v>
                </c:pt>
                <c:pt idx="779">
                  <c:v>-6.4320477379478973</c:v>
                </c:pt>
                <c:pt idx="780">
                  <c:v>-6.4443571926116698</c:v>
                </c:pt>
                <c:pt idx="781">
                  <c:v>-6.4566666733092868</c:v>
                </c:pt>
                <c:pt idx="782">
                  <c:v>-6.4689761800403609</c:v>
                </c:pt>
                <c:pt idx="783">
                  <c:v>-6.4812857128045041</c:v>
                </c:pt>
                <c:pt idx="784">
                  <c:v>-6.493595271601329</c:v>
                </c:pt>
                <c:pt idx="785">
                  <c:v>-6.5059048564304485</c:v>
                </c:pt>
                <c:pt idx="786">
                  <c:v>-6.5182144672914744</c:v>
                </c:pt>
                <c:pt idx="787">
                  <c:v>-6.5305241041840185</c:v>
                </c:pt>
                <c:pt idx="788">
                  <c:v>-6.5428337671076946</c:v>
                </c:pt>
                <c:pt idx="789">
                  <c:v>-6.5551434560621145</c:v>
                </c:pt>
                <c:pt idx="790">
                  <c:v>-6.56745317104689</c:v>
                </c:pt>
                <c:pt idx="791">
                  <c:v>-6.5797629120616339</c:v>
                </c:pt>
                <c:pt idx="792">
                  <c:v>-6.592072679105959</c:v>
                </c:pt>
                <c:pt idx="793">
                  <c:v>-6.604382472179477</c:v>
                </c:pt>
                <c:pt idx="794">
                  <c:v>-6.6166922912818009</c:v>
                </c:pt>
                <c:pt idx="795">
                  <c:v>-6.6290021364125433</c:v>
                </c:pt>
                <c:pt idx="796">
                  <c:v>-6.6413120075713161</c:v>
                </c:pt>
                <c:pt idx="797">
                  <c:v>-6.6536219047577321</c:v>
                </c:pt>
                <c:pt idx="798">
                  <c:v>-6.665931827971403</c:v>
                </c:pt>
                <c:pt idx="799">
                  <c:v>-6.6782417772119427</c:v>
                </c:pt>
                <c:pt idx="800">
                  <c:v>-6.6905517524789619</c:v>
                </c:pt>
                <c:pt idx="801">
                  <c:v>-6.7028617537720745</c:v>
                </c:pt>
                <c:pt idx="802">
                  <c:v>-6.7151717810908922</c:v>
                </c:pt>
                <c:pt idx="803">
                  <c:v>-6.7274818344350269</c:v>
                </c:pt>
                <c:pt idx="804">
                  <c:v>-6.7397919138040923</c:v>
                </c:pt>
                <c:pt idx="805">
                  <c:v>-6.7521020191977001</c:v>
                </c:pt>
                <c:pt idx="806">
                  <c:v>-6.7644121506154624</c:v>
                </c:pt>
                <c:pt idx="807">
                  <c:v>-6.7767223080569927</c:v>
                </c:pt>
                <c:pt idx="808">
                  <c:v>-6.7890324915219029</c:v>
                </c:pt>
                <c:pt idx="809">
                  <c:v>-6.8013427010098049</c:v>
                </c:pt>
                <c:pt idx="810">
                  <c:v>-6.8136529365203122</c:v>
                </c:pt>
                <c:pt idx="811">
                  <c:v>-6.8259631980530369</c:v>
                </c:pt>
                <c:pt idx="812">
                  <c:v>-6.8382734856075906</c:v>
                </c:pt>
                <c:pt idx="813">
                  <c:v>-6.8505837991835863</c:v>
                </c:pt>
                <c:pt idx="814">
                  <c:v>-6.8628941387806366</c:v>
                </c:pt>
                <c:pt idx="815">
                  <c:v>-6.8752045043983543</c:v>
                </c:pt>
                <c:pt idx="816">
                  <c:v>-6.8875148960363521</c:v>
                </c:pt>
                <c:pt idx="817">
                  <c:v>-6.899825313694242</c:v>
                </c:pt>
                <c:pt idx="818">
                  <c:v>-6.9121357573716358</c:v>
                </c:pt>
                <c:pt idx="819">
                  <c:v>-6.9244462270681471</c:v>
                </c:pt>
                <c:pt idx="820">
                  <c:v>-6.9367567227833877</c:v>
                </c:pt>
                <c:pt idx="821">
                  <c:v>-6.9490672445169706</c:v>
                </c:pt>
                <c:pt idx="822">
                  <c:v>-6.9613777922685074</c:v>
                </c:pt>
                <c:pt idx="823">
                  <c:v>-6.9736883660376119</c:v>
                </c:pt>
                <c:pt idx="824">
                  <c:v>-6.9859989658238959</c:v>
                </c:pt>
                <c:pt idx="825">
                  <c:v>-6.9983095916269722</c:v>
                </c:pt>
                <c:pt idx="826">
                  <c:v>-7.0106202434464526</c:v>
                </c:pt>
                <c:pt idx="827">
                  <c:v>-7.02293092128195</c:v>
                </c:pt>
                <c:pt idx="828">
                  <c:v>-7.0352416251330769</c:v>
                </c:pt>
                <c:pt idx="829">
                  <c:v>-7.0475523549994463</c:v>
                </c:pt>
                <c:pt idx="830">
                  <c:v>-7.05986311088067</c:v>
                </c:pt>
                <c:pt idx="831">
                  <c:v>-7.0721738927763607</c:v>
                </c:pt>
                <c:pt idx="832">
                  <c:v>-7.0844847006861311</c:v>
                </c:pt>
                <c:pt idx="833">
                  <c:v>-7.0967955346095932</c:v>
                </c:pt>
                <c:pt idx="834">
                  <c:v>-7.1091063945463606</c:v>
                </c:pt>
                <c:pt idx="835">
                  <c:v>-7.1214172804960452</c:v>
                </c:pt>
                <c:pt idx="836">
                  <c:v>-7.1337281924582596</c:v>
                </c:pt>
                <c:pt idx="837">
                  <c:v>-7.1460391304326158</c:v>
                </c:pt>
                <c:pt idx="838">
                  <c:v>-7.1583500944187275</c:v>
                </c:pt>
                <c:pt idx="839">
                  <c:v>-7.1706610844162064</c:v>
                </c:pt>
                <c:pt idx="840">
                  <c:v>-7.1829721004246645</c:v>
                </c:pt>
                <c:pt idx="841">
                  <c:v>-7.1952831424437154</c:v>
                </c:pt>
                <c:pt idx="842">
                  <c:v>-7.2075942104729709</c:v>
                </c:pt>
                <c:pt idx="843">
                  <c:v>-7.2199053045120447</c:v>
                </c:pt>
                <c:pt idx="844">
                  <c:v>-7.2322164245605487</c:v>
                </c:pt>
                <c:pt idx="845">
                  <c:v>-7.2445275706180947</c:v>
                </c:pt>
                <c:pt idx="846">
                  <c:v>-7.2568387426842964</c:v>
                </c:pt>
                <c:pt idx="847">
                  <c:v>-7.2691499407587656</c:v>
                </c:pt>
                <c:pt idx="848">
                  <c:v>-7.2814611648411152</c:v>
                </c:pt>
                <c:pt idx="849">
                  <c:v>-7.2937724149309577</c:v>
                </c:pt>
                <c:pt idx="850">
                  <c:v>-7.3060836910279061</c:v>
                </c:pt>
                <c:pt idx="851">
                  <c:v>-7.3183949931315722</c:v>
                </c:pt>
                <c:pt idx="852">
                  <c:v>-7.3307063212415686</c:v>
                </c:pt>
                <c:pt idx="853">
                  <c:v>-7.3430176753575083</c:v>
                </c:pt>
                <c:pt idx="854">
                  <c:v>-7.3553290554790038</c:v>
                </c:pt>
                <c:pt idx="855">
                  <c:v>-7.3676404616056681</c:v>
                </c:pt>
                <c:pt idx="856">
                  <c:v>-7.3799518937371138</c:v>
                </c:pt>
                <c:pt idx="857">
                  <c:v>-7.3922633518729528</c:v>
                </c:pt>
                <c:pt idx="858">
                  <c:v>-7.4045748360127979</c:v>
                </c:pt>
                <c:pt idx="859">
                  <c:v>-7.4168863461562617</c:v>
                </c:pt>
                <c:pt idx="860">
                  <c:v>-7.4291978823029572</c:v>
                </c:pt>
                <c:pt idx="861">
                  <c:v>-7.4415094444524961</c:v>
                </c:pt>
                <c:pt idx="862">
                  <c:v>-7.453821032604492</c:v>
                </c:pt>
                <c:pt idx="863">
                  <c:v>-7.4661326467585569</c:v>
                </c:pt>
                <c:pt idx="864">
                  <c:v>-7.4784442869143035</c:v>
                </c:pt>
                <c:pt idx="865">
                  <c:v>-7.4907559530713446</c:v>
                </c:pt>
                <c:pt idx="866">
                  <c:v>-7.5030676452292928</c:v>
                </c:pt>
                <c:pt idx="867">
                  <c:v>-7.515379363387761</c:v>
                </c:pt>
                <c:pt idx="868">
                  <c:v>-7.5276911075463611</c:v>
                </c:pt>
                <c:pt idx="869">
                  <c:v>-7.5400028777047066</c:v>
                </c:pt>
                <c:pt idx="870">
                  <c:v>-7.5523146738624094</c:v>
                </c:pt>
                <c:pt idx="871">
                  <c:v>-7.5646264960190823</c:v>
                </c:pt>
                <c:pt idx="872">
                  <c:v>-7.5769383441743381</c:v>
                </c:pt>
                <c:pt idx="873">
                  <c:v>-7.5892502183277895</c:v>
                </c:pt>
                <c:pt idx="874">
                  <c:v>-7.6015621184790483</c:v>
                </c:pt>
                <c:pt idx="875">
                  <c:v>-7.6138740446277282</c:v>
                </c:pt>
                <c:pt idx="876">
                  <c:v>-7.626185996773442</c:v>
                </c:pt>
                <c:pt idx="877">
                  <c:v>-7.6384979749158015</c:v>
                </c:pt>
                <c:pt idx="878">
                  <c:v>-7.6508099790544195</c:v>
                </c:pt>
                <c:pt idx="879">
                  <c:v>-7.6631220091889087</c:v>
                </c:pt>
                <c:pt idx="880">
                  <c:v>-7.6754340653188819</c:v>
                </c:pt>
                <c:pt idx="881">
                  <c:v>-7.6877461474439519</c:v>
                </c:pt>
                <c:pt idx="882">
                  <c:v>-7.7000582555637314</c:v>
                </c:pt>
                <c:pt idx="883">
                  <c:v>-7.7123703896778331</c:v>
                </c:pt>
                <c:pt idx="884">
                  <c:v>-7.7246825497858689</c:v>
                </c:pt>
                <c:pt idx="885">
                  <c:v>-7.7369947358874525</c:v>
                </c:pt>
                <c:pt idx="886">
                  <c:v>-7.7493069479821957</c:v>
                </c:pt>
                <c:pt idx="887">
                  <c:v>-7.7616191860697112</c:v>
                </c:pt>
                <c:pt idx="888">
                  <c:v>-7.7739314501496128</c:v>
                </c:pt>
                <c:pt idx="889">
                  <c:v>-7.7862437402215123</c:v>
                </c:pt>
                <c:pt idx="890">
                  <c:v>-7.7985560562850225</c:v>
                </c:pt>
                <c:pt idx="891">
                  <c:v>-7.810868398339756</c:v>
                </c:pt>
                <c:pt idx="892">
                  <c:v>-7.8231807663853257</c:v>
                </c:pt>
                <c:pt idx="893">
                  <c:v>-7.8354931604213442</c:v>
                </c:pt>
                <c:pt idx="894">
                  <c:v>-7.8478055804474236</c:v>
                </c:pt>
                <c:pt idx="895">
                  <c:v>-7.8601180264631774</c:v>
                </c:pt>
                <c:pt idx="896">
                  <c:v>-7.8724304984682183</c:v>
                </c:pt>
                <c:pt idx="897">
                  <c:v>-7.8847429964621591</c:v>
                </c:pt>
                <c:pt idx="898">
                  <c:v>-7.8970555204446118</c:v>
                </c:pt>
                <c:pt idx="899">
                  <c:v>-7.9093680704151899</c:v>
                </c:pt>
                <c:pt idx="900">
                  <c:v>-7.9216806463735052</c:v>
                </c:pt>
                <c:pt idx="901">
                  <c:v>-7.9339932483191715</c:v>
                </c:pt>
                <c:pt idx="902">
                  <c:v>-7.9463058762518006</c:v>
                </c:pt>
                <c:pt idx="903">
                  <c:v>-7.9586185301710053</c:v>
                </c:pt>
                <c:pt idx="904">
                  <c:v>-7.9709312100763992</c:v>
                </c:pt>
                <c:pt idx="905">
                  <c:v>-7.9832439159675941</c:v>
                </c:pt>
                <c:pt idx="906">
                  <c:v>-7.9955566478442028</c:v>
                </c:pt>
                <c:pt idx="907">
                  <c:v>-8.0078694057058382</c:v>
                </c:pt>
                <c:pt idx="908">
                  <c:v>-8.0201821895521128</c:v>
                </c:pt>
                <c:pt idx="909">
                  <c:v>-8.0324949993826404</c:v>
                </c:pt>
                <c:pt idx="910">
                  <c:v>-8.044807835197032</c:v>
                </c:pt>
                <c:pt idx="911">
                  <c:v>-8.0571206969949021</c:v>
                </c:pt>
                <c:pt idx="912">
                  <c:v>-8.0694335847758634</c:v>
                </c:pt>
                <c:pt idx="913">
                  <c:v>-8.0817464985395269</c:v>
                </c:pt>
                <c:pt idx="914">
                  <c:v>-8.0940594382855071</c:v>
                </c:pt>
                <c:pt idx="915">
                  <c:v>-8.1063724040134151</c:v>
                </c:pt>
                <c:pt idx="916">
                  <c:v>-8.1186853957228653</c:v>
                </c:pt>
                <c:pt idx="917">
                  <c:v>-8.1309984134134705</c:v>
                </c:pt>
                <c:pt idx="918">
                  <c:v>-8.1433114570848417</c:v>
                </c:pt>
                <c:pt idx="919">
                  <c:v>-8.1556245267365934</c:v>
                </c:pt>
                <c:pt idx="920">
                  <c:v>-8.1679376223683366</c:v>
                </c:pt>
                <c:pt idx="921">
                  <c:v>-8.1802507439796859</c:v>
                </c:pt>
                <c:pt idx="922">
                  <c:v>-8.1925638915702539</c:v>
                </c:pt>
                <c:pt idx="923">
                  <c:v>-8.2048770651396516</c:v>
                </c:pt>
                <c:pt idx="924">
                  <c:v>-8.2171902646874937</c:v>
                </c:pt>
                <c:pt idx="925">
                  <c:v>-8.2295034902133928</c:v>
                </c:pt>
                <c:pt idx="926">
                  <c:v>-8.2418167417169599</c:v>
                </c:pt>
                <c:pt idx="927">
                  <c:v>-8.2541300191978095</c:v>
                </c:pt>
                <c:pt idx="928">
                  <c:v>-8.2664433226555545</c:v>
                </c:pt>
                <c:pt idx="929">
                  <c:v>-8.2787566520898057</c:v>
                </c:pt>
                <c:pt idx="930">
                  <c:v>-8.2910700075001778</c:v>
                </c:pt>
                <c:pt idx="931">
                  <c:v>-8.3033833888862834</c:v>
                </c:pt>
                <c:pt idx="932">
                  <c:v>-8.3156967962477353</c:v>
                </c:pt>
                <c:pt idx="933">
                  <c:v>-8.3280102295841463</c:v>
                </c:pt>
                <c:pt idx="934">
                  <c:v>-8.3403236888951291</c:v>
                </c:pt>
                <c:pt idx="935">
                  <c:v>-8.3526371741802947</c:v>
                </c:pt>
                <c:pt idx="936">
                  <c:v>-8.3649506854392577</c:v>
                </c:pt>
                <c:pt idx="937">
                  <c:v>-8.3772642226716307</c:v>
                </c:pt>
                <c:pt idx="938">
                  <c:v>-8.3895777858770266</c:v>
                </c:pt>
                <c:pt idx="939">
                  <c:v>-8.4018913750550581</c:v>
                </c:pt>
                <c:pt idx="940">
                  <c:v>-8.4142049902053397</c:v>
                </c:pt>
                <c:pt idx="941">
                  <c:v>-8.4265186313274825</c:v>
                </c:pt>
                <c:pt idx="942">
                  <c:v>-8.4388322984210991</c:v>
                </c:pt>
                <c:pt idx="943">
                  <c:v>-8.4511459914858023</c:v>
                </c:pt>
                <c:pt idx="944">
                  <c:v>-8.4634597105212048</c:v>
                </c:pt>
                <c:pt idx="945">
                  <c:v>-8.4757734555269213</c:v>
                </c:pt>
                <c:pt idx="946">
                  <c:v>-8.4880872265025626</c:v>
                </c:pt>
                <c:pt idx="947">
                  <c:v>-8.5004010234477434</c:v>
                </c:pt>
                <c:pt idx="948">
                  <c:v>-8.5127148463620745</c:v>
                </c:pt>
                <c:pt idx="949">
                  <c:v>-8.5250286952451706</c:v>
                </c:pt>
                <c:pt idx="950">
                  <c:v>-8.5373425700966425</c:v>
                </c:pt>
                <c:pt idx="951">
                  <c:v>-8.5496564709161049</c:v>
                </c:pt>
                <c:pt idx="952">
                  <c:v>-8.5619703977031705</c:v>
                </c:pt>
                <c:pt idx="953">
                  <c:v>-8.5742843504574502</c:v>
                </c:pt>
                <c:pt idx="954">
                  <c:v>-8.5865983291785586</c:v>
                </c:pt>
                <c:pt idx="955">
                  <c:v>-8.5989123338661084</c:v>
                </c:pt>
                <c:pt idx="956">
                  <c:v>-8.6112263645197125</c:v>
                </c:pt>
                <c:pt idx="957">
                  <c:v>-8.6235404211389834</c:v>
                </c:pt>
                <c:pt idx="958">
                  <c:v>-8.6358545037235341</c:v>
                </c:pt>
                <c:pt idx="959">
                  <c:v>-8.6481686122729773</c:v>
                </c:pt>
                <c:pt idx="960">
                  <c:v>-8.6604827467869274</c:v>
                </c:pt>
                <c:pt idx="961">
                  <c:v>-8.6727969072649955</c:v>
                </c:pt>
                <c:pt idx="962">
                  <c:v>-8.6851110937067943</c:v>
                </c:pt>
                <c:pt idx="963">
                  <c:v>-8.6974253061119384</c:v>
                </c:pt>
                <c:pt idx="964">
                  <c:v>-8.7097395444800387</c:v>
                </c:pt>
                <c:pt idx="965">
                  <c:v>-8.7220538088107098</c:v>
                </c:pt>
                <c:pt idx="966">
                  <c:v>-8.7343680991035644</c:v>
                </c:pt>
                <c:pt idx="967">
                  <c:v>-8.7466824153582134</c:v>
                </c:pt>
                <c:pt idx="968">
                  <c:v>-8.7589967575742715</c:v>
                </c:pt>
                <c:pt idx="969">
                  <c:v>-8.7713111257513514</c:v>
                </c:pt>
                <c:pt idx="970">
                  <c:v>-8.7836255198890658</c:v>
                </c:pt>
                <c:pt idx="971">
                  <c:v>-8.7959399399870275</c:v>
                </c:pt>
                <c:pt idx="972">
                  <c:v>-8.8082543860448492</c:v>
                </c:pt>
                <c:pt idx="973">
                  <c:v>-8.8205688580621455</c:v>
                </c:pt>
                <c:pt idx="974">
                  <c:v>-8.8328833560385274</c:v>
                </c:pt>
                <c:pt idx="975">
                  <c:v>-8.8451978799736093</c:v>
                </c:pt>
                <c:pt idx="976">
                  <c:v>-8.8575124298670023</c:v>
                </c:pt>
                <c:pt idx="977">
                  <c:v>-8.8698270057183208</c:v>
                </c:pt>
                <c:pt idx="978">
                  <c:v>-8.8821416075271777</c:v>
                </c:pt>
                <c:pt idx="979">
                  <c:v>-8.8944562352931857</c:v>
                </c:pt>
                <c:pt idx="980">
                  <c:v>-8.9067708890159576</c:v>
                </c:pt>
                <c:pt idx="981">
                  <c:v>-8.919085568695106</c:v>
                </c:pt>
                <c:pt idx="982">
                  <c:v>-8.9314002743302439</c:v>
                </c:pt>
                <c:pt idx="983">
                  <c:v>-8.9437150059209838</c:v>
                </c:pt>
                <c:pt idx="984">
                  <c:v>-8.9560297634669404</c:v>
                </c:pt>
                <c:pt idx="985">
                  <c:v>-8.9683445469677245</c:v>
                </c:pt>
                <c:pt idx="986">
                  <c:v>-8.9806593564229509</c:v>
                </c:pt>
                <c:pt idx="987">
                  <c:v>-8.9929741918322321</c:v>
                </c:pt>
                <c:pt idx="988">
                  <c:v>-9.005289053195181</c:v>
                </c:pt>
                <c:pt idx="989">
                  <c:v>-9.0176039405114103</c:v>
                </c:pt>
                <c:pt idx="990">
                  <c:v>-9.0299188537805328</c:v>
                </c:pt>
                <c:pt idx="991">
                  <c:v>-9.0422337930021612</c:v>
                </c:pt>
                <c:pt idx="992">
                  <c:v>-9.0545487581759083</c:v>
                </c:pt>
                <c:pt idx="993">
                  <c:v>-9.0668637493013886</c:v>
                </c:pt>
                <c:pt idx="994">
                  <c:v>-9.0791787663782131</c:v>
                </c:pt>
                <c:pt idx="995">
                  <c:v>-9.0914938094059963</c:v>
                </c:pt>
                <c:pt idx="996">
                  <c:v>-9.1038088783843509</c:v>
                </c:pt>
                <c:pt idx="997">
                  <c:v>-9.1161239733128898</c:v>
                </c:pt>
                <c:pt idx="998">
                  <c:v>-9.1284390941912257</c:v>
                </c:pt>
                <c:pt idx="999">
                  <c:v>-9.1407542410189713</c:v>
                </c:pt>
                <c:pt idx="1000">
                  <c:v>-9.1530694137957411</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16</c:v>
                </c:pt>
                <c:pt idx="1">
                  <c:v>98.970882562773824</c:v>
                </c:pt>
                <c:pt idx="2">
                  <c:v>181.94176512554765</c:v>
                </c:pt>
                <c:pt idx="3">
                  <c:v>180.54488249273143</c:v>
                </c:pt>
                <c:pt idx="4">
                  <c:v>181.94176512554765</c:v>
                </c:pt>
                <c:pt idx="5">
                  <c:v>177.15488249273139</c:v>
                </c:pt>
                <c:pt idx="6">
                  <c:v>181.94176512554765</c:v>
                </c:pt>
              </c:numCache>
            </c:numRef>
          </c:xVal>
          <c:yVal>
            <c:numRef>
              <c:f>Trajecto!$C$132:$C$138</c:f>
              <c:numCache>
                <c:formatCode>0</c:formatCode>
                <c:ptCount val="7"/>
                <c:pt idx="0">
                  <c:v>1335.6988883574356</c:v>
                </c:pt>
                <c:pt idx="1">
                  <c:v>667.84944417871782</c:v>
                </c:pt>
                <c:pt idx="2">
                  <c:v>0</c:v>
                </c:pt>
                <c:pt idx="3">
                  <c:v>36.250604374379442</c:v>
                </c:pt>
                <c:pt idx="4">
                  <c:v>0</c:v>
                </c:pt>
                <c:pt idx="5">
                  <c:v>13.543159753502577</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33.900100000000215</c:v>
                </c:pt>
                <c:pt idx="521">
                  <c:v>33.900200000000218</c:v>
                </c:pt>
                <c:pt idx="522">
                  <c:v>33.900300000000222</c:v>
                </c:pt>
                <c:pt idx="523">
                  <c:v>33.900400000000225</c:v>
                </c:pt>
                <c:pt idx="524">
                  <c:v>33.900500000000228</c:v>
                </c:pt>
                <c:pt idx="525">
                  <c:v>33.900600000000232</c:v>
                </c:pt>
                <c:pt idx="526">
                  <c:v>33.900700000000235</c:v>
                </c:pt>
                <c:pt idx="527">
                  <c:v>33.900800000000238</c:v>
                </c:pt>
                <c:pt idx="528">
                  <c:v>33.900900000000242</c:v>
                </c:pt>
                <c:pt idx="529">
                  <c:v>33.901000000000245</c:v>
                </c:pt>
                <c:pt idx="530">
                  <c:v>33.901100000000248</c:v>
                </c:pt>
                <c:pt idx="531">
                  <c:v>33.901200000000252</c:v>
                </c:pt>
                <c:pt idx="532">
                  <c:v>33.901300000000255</c:v>
                </c:pt>
                <c:pt idx="533">
                  <c:v>33.901400000000258</c:v>
                </c:pt>
                <c:pt idx="534">
                  <c:v>33.901500000000262</c:v>
                </c:pt>
                <c:pt idx="535">
                  <c:v>33.901600000000265</c:v>
                </c:pt>
                <c:pt idx="536">
                  <c:v>33.901700000000268</c:v>
                </c:pt>
                <c:pt idx="537">
                  <c:v>33.901800000000271</c:v>
                </c:pt>
                <c:pt idx="538">
                  <c:v>33.901900000000275</c:v>
                </c:pt>
                <c:pt idx="539">
                  <c:v>33.902000000000278</c:v>
                </c:pt>
                <c:pt idx="540">
                  <c:v>33.902100000000281</c:v>
                </c:pt>
                <c:pt idx="541">
                  <c:v>33.902200000000285</c:v>
                </c:pt>
                <c:pt idx="542">
                  <c:v>33.902300000000288</c:v>
                </c:pt>
                <c:pt idx="543">
                  <c:v>33.902400000000291</c:v>
                </c:pt>
                <c:pt idx="544">
                  <c:v>33.902500000000295</c:v>
                </c:pt>
                <c:pt idx="545">
                  <c:v>33.902600000000298</c:v>
                </c:pt>
                <c:pt idx="546">
                  <c:v>33.902700000000301</c:v>
                </c:pt>
                <c:pt idx="547">
                  <c:v>33.902800000000305</c:v>
                </c:pt>
                <c:pt idx="548">
                  <c:v>33.902900000000308</c:v>
                </c:pt>
                <c:pt idx="549">
                  <c:v>33.903000000000311</c:v>
                </c:pt>
                <c:pt idx="550">
                  <c:v>33.903100000000315</c:v>
                </c:pt>
                <c:pt idx="551">
                  <c:v>33.903200000000318</c:v>
                </c:pt>
                <c:pt idx="552">
                  <c:v>33.903300000000321</c:v>
                </c:pt>
                <c:pt idx="553">
                  <c:v>33.903400000000325</c:v>
                </c:pt>
                <c:pt idx="554">
                  <c:v>33.903500000000328</c:v>
                </c:pt>
                <c:pt idx="555">
                  <c:v>33.903600000000331</c:v>
                </c:pt>
                <c:pt idx="556">
                  <c:v>33.903700000000335</c:v>
                </c:pt>
                <c:pt idx="557">
                  <c:v>33.903800000000338</c:v>
                </c:pt>
                <c:pt idx="558">
                  <c:v>33.903900000000341</c:v>
                </c:pt>
                <c:pt idx="559">
                  <c:v>33.904000000000345</c:v>
                </c:pt>
                <c:pt idx="560">
                  <c:v>33.904100000000348</c:v>
                </c:pt>
                <c:pt idx="561">
                  <c:v>33.904200000000351</c:v>
                </c:pt>
                <c:pt idx="562">
                  <c:v>33.904300000000354</c:v>
                </c:pt>
                <c:pt idx="563">
                  <c:v>33.904400000000358</c:v>
                </c:pt>
                <c:pt idx="564">
                  <c:v>33.904500000000361</c:v>
                </c:pt>
                <c:pt idx="565">
                  <c:v>33.904600000000364</c:v>
                </c:pt>
                <c:pt idx="566">
                  <c:v>33.904700000000368</c:v>
                </c:pt>
                <c:pt idx="567">
                  <c:v>33.904800000000371</c:v>
                </c:pt>
                <c:pt idx="568">
                  <c:v>33.904900000000374</c:v>
                </c:pt>
                <c:pt idx="569">
                  <c:v>33.905000000000378</c:v>
                </c:pt>
                <c:pt idx="570">
                  <c:v>33.905100000000381</c:v>
                </c:pt>
                <c:pt idx="571">
                  <c:v>33.905200000000384</c:v>
                </c:pt>
                <c:pt idx="572">
                  <c:v>33.905300000000388</c:v>
                </c:pt>
                <c:pt idx="573">
                  <c:v>33.905400000000391</c:v>
                </c:pt>
                <c:pt idx="574">
                  <c:v>33.905500000000394</c:v>
                </c:pt>
                <c:pt idx="575">
                  <c:v>33.905600000000398</c:v>
                </c:pt>
                <c:pt idx="576">
                  <c:v>33.905700000000401</c:v>
                </c:pt>
                <c:pt idx="577">
                  <c:v>33.905800000000404</c:v>
                </c:pt>
                <c:pt idx="578">
                  <c:v>33.905900000000408</c:v>
                </c:pt>
                <c:pt idx="579">
                  <c:v>33.906000000000411</c:v>
                </c:pt>
                <c:pt idx="580">
                  <c:v>33.906100000000414</c:v>
                </c:pt>
                <c:pt idx="581">
                  <c:v>33.906200000000418</c:v>
                </c:pt>
                <c:pt idx="582">
                  <c:v>33.906300000000421</c:v>
                </c:pt>
                <c:pt idx="583">
                  <c:v>33.906400000000424</c:v>
                </c:pt>
                <c:pt idx="584">
                  <c:v>33.906500000000428</c:v>
                </c:pt>
                <c:pt idx="585">
                  <c:v>33.906600000000431</c:v>
                </c:pt>
                <c:pt idx="586">
                  <c:v>33.906700000000434</c:v>
                </c:pt>
                <c:pt idx="587">
                  <c:v>33.906800000000437</c:v>
                </c:pt>
                <c:pt idx="588">
                  <c:v>33.906900000000441</c:v>
                </c:pt>
                <c:pt idx="589">
                  <c:v>33.907000000000444</c:v>
                </c:pt>
                <c:pt idx="590">
                  <c:v>33.907100000000447</c:v>
                </c:pt>
                <c:pt idx="591">
                  <c:v>33.907200000000451</c:v>
                </c:pt>
                <c:pt idx="592">
                  <c:v>33.907300000000454</c:v>
                </c:pt>
                <c:pt idx="593">
                  <c:v>33.907400000000457</c:v>
                </c:pt>
                <c:pt idx="594">
                  <c:v>33.907500000000461</c:v>
                </c:pt>
                <c:pt idx="595">
                  <c:v>33.907600000000464</c:v>
                </c:pt>
                <c:pt idx="596">
                  <c:v>33.907700000000467</c:v>
                </c:pt>
                <c:pt idx="597">
                  <c:v>33.907800000000471</c:v>
                </c:pt>
                <c:pt idx="598">
                  <c:v>33.907900000000474</c:v>
                </c:pt>
                <c:pt idx="599">
                  <c:v>33.908000000000477</c:v>
                </c:pt>
                <c:pt idx="600">
                  <c:v>33.908100000000481</c:v>
                </c:pt>
                <c:pt idx="601">
                  <c:v>33.908200000000484</c:v>
                </c:pt>
                <c:pt idx="602">
                  <c:v>33.908300000000487</c:v>
                </c:pt>
                <c:pt idx="603">
                  <c:v>33.908400000000491</c:v>
                </c:pt>
                <c:pt idx="604">
                  <c:v>33.908500000000494</c:v>
                </c:pt>
                <c:pt idx="605">
                  <c:v>33.908600000000497</c:v>
                </c:pt>
                <c:pt idx="606">
                  <c:v>33.908700000000501</c:v>
                </c:pt>
                <c:pt idx="607">
                  <c:v>33.908800000000504</c:v>
                </c:pt>
                <c:pt idx="608">
                  <c:v>33.908900000000507</c:v>
                </c:pt>
                <c:pt idx="609">
                  <c:v>33.909000000000511</c:v>
                </c:pt>
                <c:pt idx="610">
                  <c:v>33.909100000000514</c:v>
                </c:pt>
                <c:pt idx="611">
                  <c:v>33.909200000000517</c:v>
                </c:pt>
                <c:pt idx="612">
                  <c:v>33.90930000000052</c:v>
                </c:pt>
                <c:pt idx="613">
                  <c:v>33.909400000000524</c:v>
                </c:pt>
                <c:pt idx="614">
                  <c:v>33.909500000000527</c:v>
                </c:pt>
                <c:pt idx="615">
                  <c:v>33.90960000000053</c:v>
                </c:pt>
                <c:pt idx="616">
                  <c:v>33.909700000000534</c:v>
                </c:pt>
                <c:pt idx="617">
                  <c:v>33.909800000000537</c:v>
                </c:pt>
                <c:pt idx="618">
                  <c:v>33.90990000000054</c:v>
                </c:pt>
                <c:pt idx="619">
                  <c:v>33.910000000000544</c:v>
                </c:pt>
                <c:pt idx="620">
                  <c:v>33.910100000000547</c:v>
                </c:pt>
                <c:pt idx="621">
                  <c:v>33.91020000000055</c:v>
                </c:pt>
                <c:pt idx="622">
                  <c:v>33.910300000000554</c:v>
                </c:pt>
                <c:pt idx="623">
                  <c:v>33.910400000000557</c:v>
                </c:pt>
                <c:pt idx="624">
                  <c:v>33.91050000000056</c:v>
                </c:pt>
                <c:pt idx="625">
                  <c:v>33.910600000000564</c:v>
                </c:pt>
                <c:pt idx="626">
                  <c:v>33.910700000000567</c:v>
                </c:pt>
                <c:pt idx="627">
                  <c:v>33.91080000000057</c:v>
                </c:pt>
                <c:pt idx="628">
                  <c:v>33.910900000000574</c:v>
                </c:pt>
                <c:pt idx="629">
                  <c:v>33.911000000000577</c:v>
                </c:pt>
                <c:pt idx="630">
                  <c:v>33.91110000000058</c:v>
                </c:pt>
                <c:pt idx="631">
                  <c:v>33.911200000000584</c:v>
                </c:pt>
                <c:pt idx="632">
                  <c:v>33.911300000000587</c:v>
                </c:pt>
                <c:pt idx="633">
                  <c:v>33.91140000000059</c:v>
                </c:pt>
                <c:pt idx="634">
                  <c:v>33.911500000000594</c:v>
                </c:pt>
                <c:pt idx="635">
                  <c:v>33.911600000000597</c:v>
                </c:pt>
                <c:pt idx="636">
                  <c:v>33.9117000000006</c:v>
                </c:pt>
                <c:pt idx="637">
                  <c:v>33.911800000000603</c:v>
                </c:pt>
                <c:pt idx="638">
                  <c:v>33.911900000000607</c:v>
                </c:pt>
                <c:pt idx="639">
                  <c:v>33.91200000000061</c:v>
                </c:pt>
                <c:pt idx="640">
                  <c:v>33.912100000000613</c:v>
                </c:pt>
                <c:pt idx="641">
                  <c:v>33.912200000000617</c:v>
                </c:pt>
                <c:pt idx="642">
                  <c:v>33.91230000000062</c:v>
                </c:pt>
                <c:pt idx="643">
                  <c:v>33.912400000000623</c:v>
                </c:pt>
                <c:pt idx="644">
                  <c:v>33.912500000000627</c:v>
                </c:pt>
                <c:pt idx="645">
                  <c:v>33.91260000000063</c:v>
                </c:pt>
                <c:pt idx="646">
                  <c:v>33.912700000000633</c:v>
                </c:pt>
                <c:pt idx="647">
                  <c:v>33.912800000000637</c:v>
                </c:pt>
                <c:pt idx="648">
                  <c:v>33.91290000000064</c:v>
                </c:pt>
                <c:pt idx="649">
                  <c:v>33.913000000000643</c:v>
                </c:pt>
                <c:pt idx="650">
                  <c:v>33.913100000000647</c:v>
                </c:pt>
                <c:pt idx="651">
                  <c:v>33.91320000000065</c:v>
                </c:pt>
                <c:pt idx="652">
                  <c:v>33.913300000000653</c:v>
                </c:pt>
                <c:pt idx="653">
                  <c:v>33.913400000000657</c:v>
                </c:pt>
                <c:pt idx="654">
                  <c:v>33.91350000000066</c:v>
                </c:pt>
                <c:pt idx="655">
                  <c:v>33.913600000000663</c:v>
                </c:pt>
                <c:pt idx="656">
                  <c:v>33.913700000000667</c:v>
                </c:pt>
                <c:pt idx="657">
                  <c:v>33.91380000000067</c:v>
                </c:pt>
                <c:pt idx="658">
                  <c:v>33.913900000000673</c:v>
                </c:pt>
                <c:pt idx="659">
                  <c:v>33.914000000000676</c:v>
                </c:pt>
                <c:pt idx="660">
                  <c:v>33.91410000000068</c:v>
                </c:pt>
                <c:pt idx="661">
                  <c:v>33.914200000000683</c:v>
                </c:pt>
                <c:pt idx="662">
                  <c:v>33.914300000000686</c:v>
                </c:pt>
                <c:pt idx="663">
                  <c:v>33.91440000000069</c:v>
                </c:pt>
                <c:pt idx="664">
                  <c:v>33.914500000000693</c:v>
                </c:pt>
                <c:pt idx="665">
                  <c:v>33.914600000000696</c:v>
                </c:pt>
                <c:pt idx="666">
                  <c:v>33.9147000000007</c:v>
                </c:pt>
                <c:pt idx="667">
                  <c:v>33.914800000000703</c:v>
                </c:pt>
                <c:pt idx="668">
                  <c:v>33.914900000000706</c:v>
                </c:pt>
                <c:pt idx="669">
                  <c:v>33.91500000000071</c:v>
                </c:pt>
                <c:pt idx="670">
                  <c:v>33.915100000000713</c:v>
                </c:pt>
                <c:pt idx="671">
                  <c:v>33.915200000000716</c:v>
                </c:pt>
                <c:pt idx="672">
                  <c:v>33.91530000000072</c:v>
                </c:pt>
                <c:pt idx="673">
                  <c:v>33.915400000000723</c:v>
                </c:pt>
                <c:pt idx="674">
                  <c:v>33.915500000000726</c:v>
                </c:pt>
                <c:pt idx="675">
                  <c:v>33.91560000000073</c:v>
                </c:pt>
                <c:pt idx="676">
                  <c:v>33.915700000000733</c:v>
                </c:pt>
                <c:pt idx="677">
                  <c:v>33.915800000000736</c:v>
                </c:pt>
                <c:pt idx="678">
                  <c:v>33.91590000000074</c:v>
                </c:pt>
                <c:pt idx="679">
                  <c:v>33.916000000000743</c:v>
                </c:pt>
                <c:pt idx="680">
                  <c:v>33.916100000000746</c:v>
                </c:pt>
                <c:pt idx="681">
                  <c:v>33.91620000000075</c:v>
                </c:pt>
                <c:pt idx="682">
                  <c:v>33.916300000000753</c:v>
                </c:pt>
                <c:pt idx="683">
                  <c:v>33.916400000000756</c:v>
                </c:pt>
                <c:pt idx="684">
                  <c:v>33.916500000000759</c:v>
                </c:pt>
                <c:pt idx="685">
                  <c:v>33.916600000000763</c:v>
                </c:pt>
                <c:pt idx="686">
                  <c:v>33.916700000000766</c:v>
                </c:pt>
                <c:pt idx="687">
                  <c:v>33.916800000000769</c:v>
                </c:pt>
                <c:pt idx="688">
                  <c:v>33.916900000000773</c:v>
                </c:pt>
                <c:pt idx="689">
                  <c:v>33.917000000000776</c:v>
                </c:pt>
                <c:pt idx="690">
                  <c:v>33.917100000000779</c:v>
                </c:pt>
                <c:pt idx="691">
                  <c:v>33.917200000000783</c:v>
                </c:pt>
                <c:pt idx="692">
                  <c:v>33.917300000000786</c:v>
                </c:pt>
                <c:pt idx="693">
                  <c:v>33.917400000000789</c:v>
                </c:pt>
                <c:pt idx="694">
                  <c:v>33.917500000000793</c:v>
                </c:pt>
                <c:pt idx="695">
                  <c:v>33.917600000000796</c:v>
                </c:pt>
                <c:pt idx="696">
                  <c:v>33.917700000000799</c:v>
                </c:pt>
                <c:pt idx="697">
                  <c:v>33.917800000000803</c:v>
                </c:pt>
                <c:pt idx="698">
                  <c:v>33.917900000000806</c:v>
                </c:pt>
                <c:pt idx="699">
                  <c:v>33.918000000000809</c:v>
                </c:pt>
                <c:pt idx="700">
                  <c:v>33.918100000000813</c:v>
                </c:pt>
                <c:pt idx="701">
                  <c:v>33.918200000000816</c:v>
                </c:pt>
                <c:pt idx="702">
                  <c:v>33.918300000000819</c:v>
                </c:pt>
                <c:pt idx="703">
                  <c:v>33.918400000000823</c:v>
                </c:pt>
                <c:pt idx="704">
                  <c:v>33.918500000000826</c:v>
                </c:pt>
                <c:pt idx="705">
                  <c:v>33.918600000000829</c:v>
                </c:pt>
                <c:pt idx="706">
                  <c:v>33.918700000000833</c:v>
                </c:pt>
                <c:pt idx="707">
                  <c:v>33.918800000000836</c:v>
                </c:pt>
                <c:pt idx="708">
                  <c:v>33.918900000000839</c:v>
                </c:pt>
                <c:pt idx="709">
                  <c:v>33.919000000000842</c:v>
                </c:pt>
                <c:pt idx="710">
                  <c:v>33.919100000000846</c:v>
                </c:pt>
                <c:pt idx="711">
                  <c:v>33.919200000000849</c:v>
                </c:pt>
                <c:pt idx="712">
                  <c:v>33.919300000000852</c:v>
                </c:pt>
                <c:pt idx="713">
                  <c:v>33.919400000000856</c:v>
                </c:pt>
                <c:pt idx="714">
                  <c:v>33.919500000000859</c:v>
                </c:pt>
                <c:pt idx="715">
                  <c:v>33.919600000000862</c:v>
                </c:pt>
                <c:pt idx="716">
                  <c:v>33.919700000000866</c:v>
                </c:pt>
                <c:pt idx="717">
                  <c:v>33.919800000000869</c:v>
                </c:pt>
                <c:pt idx="718">
                  <c:v>33.919900000000872</c:v>
                </c:pt>
                <c:pt idx="719">
                  <c:v>33.920000000000876</c:v>
                </c:pt>
                <c:pt idx="720">
                  <c:v>33.920100000000879</c:v>
                </c:pt>
                <c:pt idx="721">
                  <c:v>33.920200000000882</c:v>
                </c:pt>
                <c:pt idx="722">
                  <c:v>33.920300000000886</c:v>
                </c:pt>
                <c:pt idx="723">
                  <c:v>33.920400000000889</c:v>
                </c:pt>
                <c:pt idx="724">
                  <c:v>33.920500000000892</c:v>
                </c:pt>
                <c:pt idx="725">
                  <c:v>33.920600000000896</c:v>
                </c:pt>
                <c:pt idx="726">
                  <c:v>33.920700000000899</c:v>
                </c:pt>
                <c:pt idx="727">
                  <c:v>33.920800000000902</c:v>
                </c:pt>
                <c:pt idx="728">
                  <c:v>33.920900000000906</c:v>
                </c:pt>
                <c:pt idx="729">
                  <c:v>33.921000000000909</c:v>
                </c:pt>
                <c:pt idx="730">
                  <c:v>33.921100000000912</c:v>
                </c:pt>
                <c:pt idx="731">
                  <c:v>33.921200000000916</c:v>
                </c:pt>
                <c:pt idx="732">
                  <c:v>33.921300000000919</c:v>
                </c:pt>
                <c:pt idx="733">
                  <c:v>33.921400000000922</c:v>
                </c:pt>
                <c:pt idx="734">
                  <c:v>33.921500000000925</c:v>
                </c:pt>
                <c:pt idx="735">
                  <c:v>33.921600000000929</c:v>
                </c:pt>
                <c:pt idx="736">
                  <c:v>33.921700000000932</c:v>
                </c:pt>
                <c:pt idx="737">
                  <c:v>33.921800000000935</c:v>
                </c:pt>
                <c:pt idx="738">
                  <c:v>33.921900000000939</c:v>
                </c:pt>
                <c:pt idx="739">
                  <c:v>33.922000000000942</c:v>
                </c:pt>
                <c:pt idx="740">
                  <c:v>33.922100000000945</c:v>
                </c:pt>
                <c:pt idx="741">
                  <c:v>33.922200000000949</c:v>
                </c:pt>
                <c:pt idx="742">
                  <c:v>33.922300000000952</c:v>
                </c:pt>
                <c:pt idx="743">
                  <c:v>33.922400000000955</c:v>
                </c:pt>
                <c:pt idx="744">
                  <c:v>33.922500000000959</c:v>
                </c:pt>
                <c:pt idx="745">
                  <c:v>33.922600000000962</c:v>
                </c:pt>
                <c:pt idx="746">
                  <c:v>33.922700000000965</c:v>
                </c:pt>
                <c:pt idx="747">
                  <c:v>33.922800000000969</c:v>
                </c:pt>
                <c:pt idx="748">
                  <c:v>33.922900000000972</c:v>
                </c:pt>
                <c:pt idx="749">
                  <c:v>33.923000000000975</c:v>
                </c:pt>
                <c:pt idx="750">
                  <c:v>33.923100000000979</c:v>
                </c:pt>
                <c:pt idx="751">
                  <c:v>33.923200000000982</c:v>
                </c:pt>
                <c:pt idx="752">
                  <c:v>33.923300000000985</c:v>
                </c:pt>
                <c:pt idx="753">
                  <c:v>33.923400000000989</c:v>
                </c:pt>
                <c:pt idx="754">
                  <c:v>33.923500000000992</c:v>
                </c:pt>
                <c:pt idx="755">
                  <c:v>33.923600000000995</c:v>
                </c:pt>
                <c:pt idx="756">
                  <c:v>33.923700000000999</c:v>
                </c:pt>
                <c:pt idx="757">
                  <c:v>33.923800000001002</c:v>
                </c:pt>
                <c:pt idx="758">
                  <c:v>33.923900000001005</c:v>
                </c:pt>
                <c:pt idx="759">
                  <c:v>33.924000000001008</c:v>
                </c:pt>
                <c:pt idx="760">
                  <c:v>33.924100000001012</c:v>
                </c:pt>
                <c:pt idx="761">
                  <c:v>33.924200000001015</c:v>
                </c:pt>
                <c:pt idx="762">
                  <c:v>33.924300000001018</c:v>
                </c:pt>
                <c:pt idx="763">
                  <c:v>33.924400000001022</c:v>
                </c:pt>
                <c:pt idx="764">
                  <c:v>33.924500000001025</c:v>
                </c:pt>
                <c:pt idx="765">
                  <c:v>33.924600000001028</c:v>
                </c:pt>
                <c:pt idx="766">
                  <c:v>33.924700000001032</c:v>
                </c:pt>
                <c:pt idx="767">
                  <c:v>33.924800000001035</c:v>
                </c:pt>
                <c:pt idx="768">
                  <c:v>33.924900000001038</c:v>
                </c:pt>
                <c:pt idx="769">
                  <c:v>33.925000000001042</c:v>
                </c:pt>
                <c:pt idx="770">
                  <c:v>33.925100000001045</c:v>
                </c:pt>
                <c:pt idx="771">
                  <c:v>33.925200000001048</c:v>
                </c:pt>
                <c:pt idx="772">
                  <c:v>33.925300000001052</c:v>
                </c:pt>
                <c:pt idx="773">
                  <c:v>33.925400000001055</c:v>
                </c:pt>
                <c:pt idx="774">
                  <c:v>33.925500000001058</c:v>
                </c:pt>
                <c:pt idx="775">
                  <c:v>33.925600000001062</c:v>
                </c:pt>
                <c:pt idx="776">
                  <c:v>33.925700000001065</c:v>
                </c:pt>
                <c:pt idx="777">
                  <c:v>33.925800000001068</c:v>
                </c:pt>
                <c:pt idx="778">
                  <c:v>33.925900000001072</c:v>
                </c:pt>
                <c:pt idx="779">
                  <c:v>33.926000000001075</c:v>
                </c:pt>
                <c:pt idx="780">
                  <c:v>33.926100000001078</c:v>
                </c:pt>
                <c:pt idx="781">
                  <c:v>33.926200000001081</c:v>
                </c:pt>
                <c:pt idx="782">
                  <c:v>33.926300000001085</c:v>
                </c:pt>
                <c:pt idx="783">
                  <c:v>33.926400000001088</c:v>
                </c:pt>
                <c:pt idx="784">
                  <c:v>33.926500000001091</c:v>
                </c:pt>
                <c:pt idx="785">
                  <c:v>33.926600000001095</c:v>
                </c:pt>
                <c:pt idx="786">
                  <c:v>33.926700000001098</c:v>
                </c:pt>
                <c:pt idx="787">
                  <c:v>33.926800000001101</c:v>
                </c:pt>
                <c:pt idx="788">
                  <c:v>33.926900000001105</c:v>
                </c:pt>
                <c:pt idx="789">
                  <c:v>33.927000000001108</c:v>
                </c:pt>
                <c:pt idx="790">
                  <c:v>33.927100000001111</c:v>
                </c:pt>
                <c:pt idx="791">
                  <c:v>33.927200000001115</c:v>
                </c:pt>
                <c:pt idx="792">
                  <c:v>33.927300000001118</c:v>
                </c:pt>
                <c:pt idx="793">
                  <c:v>33.927400000001121</c:v>
                </c:pt>
                <c:pt idx="794">
                  <c:v>33.927500000001125</c:v>
                </c:pt>
                <c:pt idx="795">
                  <c:v>33.927600000001128</c:v>
                </c:pt>
                <c:pt idx="796">
                  <c:v>33.927700000001131</c:v>
                </c:pt>
                <c:pt idx="797">
                  <c:v>33.927800000001135</c:v>
                </c:pt>
                <c:pt idx="798">
                  <c:v>33.927900000001138</c:v>
                </c:pt>
                <c:pt idx="799">
                  <c:v>33.928000000001141</c:v>
                </c:pt>
                <c:pt idx="800">
                  <c:v>33.928100000001145</c:v>
                </c:pt>
                <c:pt idx="801">
                  <c:v>33.928200000001148</c:v>
                </c:pt>
                <c:pt idx="802">
                  <c:v>33.928300000001151</c:v>
                </c:pt>
                <c:pt idx="803">
                  <c:v>33.928400000001155</c:v>
                </c:pt>
                <c:pt idx="804">
                  <c:v>33.928500000001158</c:v>
                </c:pt>
                <c:pt idx="805">
                  <c:v>33.928600000001161</c:v>
                </c:pt>
                <c:pt idx="806">
                  <c:v>33.928700000001164</c:v>
                </c:pt>
                <c:pt idx="807">
                  <c:v>33.928800000001168</c:v>
                </c:pt>
                <c:pt idx="808">
                  <c:v>33.928900000001171</c:v>
                </c:pt>
                <c:pt idx="809">
                  <c:v>33.929000000001174</c:v>
                </c:pt>
                <c:pt idx="810">
                  <c:v>33.929100000001178</c:v>
                </c:pt>
                <c:pt idx="811">
                  <c:v>33.929200000001181</c:v>
                </c:pt>
                <c:pt idx="812">
                  <c:v>33.929300000001184</c:v>
                </c:pt>
                <c:pt idx="813">
                  <c:v>33.929400000001188</c:v>
                </c:pt>
                <c:pt idx="814">
                  <c:v>33.929500000001191</c:v>
                </c:pt>
                <c:pt idx="815">
                  <c:v>33.929600000001194</c:v>
                </c:pt>
                <c:pt idx="816">
                  <c:v>33.929700000001198</c:v>
                </c:pt>
                <c:pt idx="817">
                  <c:v>33.929800000001201</c:v>
                </c:pt>
                <c:pt idx="818">
                  <c:v>33.929900000001204</c:v>
                </c:pt>
                <c:pt idx="819">
                  <c:v>33.930000000001208</c:v>
                </c:pt>
                <c:pt idx="820">
                  <c:v>33.930100000001211</c:v>
                </c:pt>
                <c:pt idx="821">
                  <c:v>33.930200000001214</c:v>
                </c:pt>
                <c:pt idx="822">
                  <c:v>33.930300000001218</c:v>
                </c:pt>
                <c:pt idx="823">
                  <c:v>33.930400000001221</c:v>
                </c:pt>
                <c:pt idx="824">
                  <c:v>33.930500000001224</c:v>
                </c:pt>
                <c:pt idx="825">
                  <c:v>33.930600000001228</c:v>
                </c:pt>
                <c:pt idx="826">
                  <c:v>33.930700000001231</c:v>
                </c:pt>
                <c:pt idx="827">
                  <c:v>33.930800000001234</c:v>
                </c:pt>
                <c:pt idx="828">
                  <c:v>33.930900000001238</c:v>
                </c:pt>
                <c:pt idx="829">
                  <c:v>33.931000000001241</c:v>
                </c:pt>
                <c:pt idx="830">
                  <c:v>33.931100000001244</c:v>
                </c:pt>
                <c:pt idx="831">
                  <c:v>33.931200000001247</c:v>
                </c:pt>
                <c:pt idx="832">
                  <c:v>33.931300000001251</c:v>
                </c:pt>
                <c:pt idx="833">
                  <c:v>33.931400000001254</c:v>
                </c:pt>
                <c:pt idx="834">
                  <c:v>33.931500000001257</c:v>
                </c:pt>
                <c:pt idx="835">
                  <c:v>33.931600000001261</c:v>
                </c:pt>
                <c:pt idx="836">
                  <c:v>33.931700000001264</c:v>
                </c:pt>
                <c:pt idx="837">
                  <c:v>33.931800000001267</c:v>
                </c:pt>
                <c:pt idx="838">
                  <c:v>33.931900000001271</c:v>
                </c:pt>
                <c:pt idx="839">
                  <c:v>33.932000000001274</c:v>
                </c:pt>
                <c:pt idx="840">
                  <c:v>33.932100000001277</c:v>
                </c:pt>
                <c:pt idx="841">
                  <c:v>33.932200000001281</c:v>
                </c:pt>
                <c:pt idx="842">
                  <c:v>33.932300000001284</c:v>
                </c:pt>
                <c:pt idx="843">
                  <c:v>33.932400000001287</c:v>
                </c:pt>
                <c:pt idx="844">
                  <c:v>33.932500000001291</c:v>
                </c:pt>
                <c:pt idx="845">
                  <c:v>33.932600000001294</c:v>
                </c:pt>
                <c:pt idx="846">
                  <c:v>33.932700000001297</c:v>
                </c:pt>
                <c:pt idx="847">
                  <c:v>33.932800000001301</c:v>
                </c:pt>
                <c:pt idx="848">
                  <c:v>33.932900000001304</c:v>
                </c:pt>
                <c:pt idx="849">
                  <c:v>33.933000000001307</c:v>
                </c:pt>
                <c:pt idx="850">
                  <c:v>33.933100000001311</c:v>
                </c:pt>
                <c:pt idx="851">
                  <c:v>33.933200000001314</c:v>
                </c:pt>
                <c:pt idx="852">
                  <c:v>33.933300000001317</c:v>
                </c:pt>
                <c:pt idx="853">
                  <c:v>33.933400000001321</c:v>
                </c:pt>
                <c:pt idx="854">
                  <c:v>33.933500000001324</c:v>
                </c:pt>
                <c:pt idx="855">
                  <c:v>33.933600000001327</c:v>
                </c:pt>
                <c:pt idx="856">
                  <c:v>33.93370000000133</c:v>
                </c:pt>
                <c:pt idx="857">
                  <c:v>33.933800000001334</c:v>
                </c:pt>
                <c:pt idx="858">
                  <c:v>33.933900000001337</c:v>
                </c:pt>
                <c:pt idx="859">
                  <c:v>33.93400000000134</c:v>
                </c:pt>
                <c:pt idx="860">
                  <c:v>33.934100000001344</c:v>
                </c:pt>
                <c:pt idx="861">
                  <c:v>33.934200000001347</c:v>
                </c:pt>
                <c:pt idx="862">
                  <c:v>33.93430000000135</c:v>
                </c:pt>
                <c:pt idx="863">
                  <c:v>33.934400000001354</c:v>
                </c:pt>
                <c:pt idx="864">
                  <c:v>33.934500000001357</c:v>
                </c:pt>
                <c:pt idx="865">
                  <c:v>33.93460000000136</c:v>
                </c:pt>
                <c:pt idx="866">
                  <c:v>33.934700000001364</c:v>
                </c:pt>
                <c:pt idx="867">
                  <c:v>33.934800000001367</c:v>
                </c:pt>
                <c:pt idx="868">
                  <c:v>33.93490000000137</c:v>
                </c:pt>
                <c:pt idx="869">
                  <c:v>33.935000000001374</c:v>
                </c:pt>
                <c:pt idx="870">
                  <c:v>33.935100000001377</c:v>
                </c:pt>
                <c:pt idx="871">
                  <c:v>33.93520000000138</c:v>
                </c:pt>
                <c:pt idx="872">
                  <c:v>33.935300000001384</c:v>
                </c:pt>
                <c:pt idx="873">
                  <c:v>33.935400000001387</c:v>
                </c:pt>
                <c:pt idx="874">
                  <c:v>33.93550000000139</c:v>
                </c:pt>
                <c:pt idx="875">
                  <c:v>33.935600000001394</c:v>
                </c:pt>
                <c:pt idx="876">
                  <c:v>33.935700000001397</c:v>
                </c:pt>
                <c:pt idx="877">
                  <c:v>33.9358000000014</c:v>
                </c:pt>
                <c:pt idx="878">
                  <c:v>33.935900000001403</c:v>
                </c:pt>
                <c:pt idx="879">
                  <c:v>33.936000000001407</c:v>
                </c:pt>
                <c:pt idx="880">
                  <c:v>33.93610000000141</c:v>
                </c:pt>
                <c:pt idx="881">
                  <c:v>33.936200000001413</c:v>
                </c:pt>
                <c:pt idx="882">
                  <c:v>33.936300000001417</c:v>
                </c:pt>
                <c:pt idx="883">
                  <c:v>33.93640000000142</c:v>
                </c:pt>
                <c:pt idx="884">
                  <c:v>33.936500000001423</c:v>
                </c:pt>
                <c:pt idx="885">
                  <c:v>33.936600000001427</c:v>
                </c:pt>
                <c:pt idx="886">
                  <c:v>33.93670000000143</c:v>
                </c:pt>
                <c:pt idx="887">
                  <c:v>33.936800000001433</c:v>
                </c:pt>
                <c:pt idx="888">
                  <c:v>33.936900000001437</c:v>
                </c:pt>
                <c:pt idx="889">
                  <c:v>33.93700000000144</c:v>
                </c:pt>
                <c:pt idx="890">
                  <c:v>33.937100000001443</c:v>
                </c:pt>
                <c:pt idx="891">
                  <c:v>33.937200000001447</c:v>
                </c:pt>
                <c:pt idx="892">
                  <c:v>33.93730000000145</c:v>
                </c:pt>
                <c:pt idx="893">
                  <c:v>33.937400000001453</c:v>
                </c:pt>
                <c:pt idx="894">
                  <c:v>33.937500000001457</c:v>
                </c:pt>
                <c:pt idx="895">
                  <c:v>33.93760000000146</c:v>
                </c:pt>
                <c:pt idx="896">
                  <c:v>33.937700000001463</c:v>
                </c:pt>
                <c:pt idx="897">
                  <c:v>33.937800000001467</c:v>
                </c:pt>
                <c:pt idx="898">
                  <c:v>33.93790000000147</c:v>
                </c:pt>
                <c:pt idx="899">
                  <c:v>33.938000000001473</c:v>
                </c:pt>
                <c:pt idx="900">
                  <c:v>33.938100000001477</c:v>
                </c:pt>
                <c:pt idx="901">
                  <c:v>33.93820000000148</c:v>
                </c:pt>
                <c:pt idx="902">
                  <c:v>33.938300000001483</c:v>
                </c:pt>
                <c:pt idx="903">
                  <c:v>33.938400000001486</c:v>
                </c:pt>
                <c:pt idx="904">
                  <c:v>33.93850000000149</c:v>
                </c:pt>
                <c:pt idx="905">
                  <c:v>33.938600000001493</c:v>
                </c:pt>
                <c:pt idx="906">
                  <c:v>33.938700000001496</c:v>
                </c:pt>
                <c:pt idx="907">
                  <c:v>33.9388000000015</c:v>
                </c:pt>
                <c:pt idx="908">
                  <c:v>33.938900000001503</c:v>
                </c:pt>
                <c:pt idx="909">
                  <c:v>33.939000000001506</c:v>
                </c:pt>
                <c:pt idx="910">
                  <c:v>33.93910000000151</c:v>
                </c:pt>
                <c:pt idx="911">
                  <c:v>33.939200000001513</c:v>
                </c:pt>
                <c:pt idx="912">
                  <c:v>33.939300000001516</c:v>
                </c:pt>
                <c:pt idx="913">
                  <c:v>33.93940000000152</c:v>
                </c:pt>
                <c:pt idx="914">
                  <c:v>33.939500000001523</c:v>
                </c:pt>
                <c:pt idx="915">
                  <c:v>33.939600000001526</c:v>
                </c:pt>
                <c:pt idx="916">
                  <c:v>33.93970000000153</c:v>
                </c:pt>
                <c:pt idx="917">
                  <c:v>33.939800000001533</c:v>
                </c:pt>
                <c:pt idx="918">
                  <c:v>33.939900000001536</c:v>
                </c:pt>
                <c:pt idx="919">
                  <c:v>33.94000000000154</c:v>
                </c:pt>
                <c:pt idx="920">
                  <c:v>33.940100000001543</c:v>
                </c:pt>
                <c:pt idx="921">
                  <c:v>33.940200000001546</c:v>
                </c:pt>
                <c:pt idx="922">
                  <c:v>33.94030000000155</c:v>
                </c:pt>
                <c:pt idx="923">
                  <c:v>33.940400000001553</c:v>
                </c:pt>
                <c:pt idx="924">
                  <c:v>33.940500000001556</c:v>
                </c:pt>
                <c:pt idx="925">
                  <c:v>33.94060000000156</c:v>
                </c:pt>
                <c:pt idx="926">
                  <c:v>33.940700000001563</c:v>
                </c:pt>
                <c:pt idx="927">
                  <c:v>33.940800000001566</c:v>
                </c:pt>
                <c:pt idx="928">
                  <c:v>33.940900000001569</c:v>
                </c:pt>
                <c:pt idx="929">
                  <c:v>33.941000000001573</c:v>
                </c:pt>
                <c:pt idx="930">
                  <c:v>33.941100000001576</c:v>
                </c:pt>
                <c:pt idx="931">
                  <c:v>33.941200000001579</c:v>
                </c:pt>
                <c:pt idx="932">
                  <c:v>33.941300000001583</c:v>
                </c:pt>
                <c:pt idx="933">
                  <c:v>33.941400000001586</c:v>
                </c:pt>
                <c:pt idx="934">
                  <c:v>33.941500000001589</c:v>
                </c:pt>
                <c:pt idx="935">
                  <c:v>33.941600000001593</c:v>
                </c:pt>
                <c:pt idx="936">
                  <c:v>33.941700000001596</c:v>
                </c:pt>
                <c:pt idx="937">
                  <c:v>33.941800000001599</c:v>
                </c:pt>
                <c:pt idx="938">
                  <c:v>33.941900000001603</c:v>
                </c:pt>
                <c:pt idx="939">
                  <c:v>33.942000000001606</c:v>
                </c:pt>
                <c:pt idx="940">
                  <c:v>33.942100000001609</c:v>
                </c:pt>
                <c:pt idx="941">
                  <c:v>33.942200000001613</c:v>
                </c:pt>
                <c:pt idx="942">
                  <c:v>33.942300000001616</c:v>
                </c:pt>
                <c:pt idx="943">
                  <c:v>33.942400000001619</c:v>
                </c:pt>
                <c:pt idx="944">
                  <c:v>33.942500000001623</c:v>
                </c:pt>
                <c:pt idx="945">
                  <c:v>33.942600000001626</c:v>
                </c:pt>
                <c:pt idx="946">
                  <c:v>33.942700000001629</c:v>
                </c:pt>
                <c:pt idx="947">
                  <c:v>33.942800000001633</c:v>
                </c:pt>
                <c:pt idx="948">
                  <c:v>33.942900000001636</c:v>
                </c:pt>
                <c:pt idx="949">
                  <c:v>33.943000000001639</c:v>
                </c:pt>
                <c:pt idx="950">
                  <c:v>33.943100000001643</c:v>
                </c:pt>
                <c:pt idx="951">
                  <c:v>33.943200000001646</c:v>
                </c:pt>
                <c:pt idx="952">
                  <c:v>33.943300000001649</c:v>
                </c:pt>
                <c:pt idx="953">
                  <c:v>33.943400000001652</c:v>
                </c:pt>
                <c:pt idx="954">
                  <c:v>33.943500000001656</c:v>
                </c:pt>
                <c:pt idx="955">
                  <c:v>33.943600000001659</c:v>
                </c:pt>
                <c:pt idx="956">
                  <c:v>33.943700000001662</c:v>
                </c:pt>
                <c:pt idx="957">
                  <c:v>33.943800000001666</c:v>
                </c:pt>
                <c:pt idx="958">
                  <c:v>33.943900000001669</c:v>
                </c:pt>
                <c:pt idx="959">
                  <c:v>33.944000000001672</c:v>
                </c:pt>
                <c:pt idx="960">
                  <c:v>33.944100000001676</c:v>
                </c:pt>
                <c:pt idx="961">
                  <c:v>33.944200000001679</c:v>
                </c:pt>
                <c:pt idx="962">
                  <c:v>33.944300000001682</c:v>
                </c:pt>
                <c:pt idx="963">
                  <c:v>33.944400000001686</c:v>
                </c:pt>
                <c:pt idx="964">
                  <c:v>33.944500000001689</c:v>
                </c:pt>
                <c:pt idx="965">
                  <c:v>33.944600000001692</c:v>
                </c:pt>
                <c:pt idx="966">
                  <c:v>33.944700000001696</c:v>
                </c:pt>
                <c:pt idx="967">
                  <c:v>33.944800000001699</c:v>
                </c:pt>
                <c:pt idx="968">
                  <c:v>33.944900000001702</c:v>
                </c:pt>
                <c:pt idx="969">
                  <c:v>33.945000000001706</c:v>
                </c:pt>
                <c:pt idx="970">
                  <c:v>33.945100000001709</c:v>
                </c:pt>
                <c:pt idx="971">
                  <c:v>33.945200000001712</c:v>
                </c:pt>
                <c:pt idx="972">
                  <c:v>33.945300000001716</c:v>
                </c:pt>
                <c:pt idx="973">
                  <c:v>33.945400000001719</c:v>
                </c:pt>
                <c:pt idx="974">
                  <c:v>33.945500000001722</c:v>
                </c:pt>
                <c:pt idx="975">
                  <c:v>33.945600000001726</c:v>
                </c:pt>
                <c:pt idx="976">
                  <c:v>33.945700000001729</c:v>
                </c:pt>
                <c:pt idx="977">
                  <c:v>33.945800000001732</c:v>
                </c:pt>
                <c:pt idx="978">
                  <c:v>33.945900000001735</c:v>
                </c:pt>
                <c:pt idx="979">
                  <c:v>33.946000000001739</c:v>
                </c:pt>
                <c:pt idx="980">
                  <c:v>33.946100000001742</c:v>
                </c:pt>
                <c:pt idx="981">
                  <c:v>33.946200000001745</c:v>
                </c:pt>
                <c:pt idx="982">
                  <c:v>33.946300000001749</c:v>
                </c:pt>
                <c:pt idx="983">
                  <c:v>33.946400000001752</c:v>
                </c:pt>
                <c:pt idx="984">
                  <c:v>33.946500000001755</c:v>
                </c:pt>
                <c:pt idx="985">
                  <c:v>33.946600000001759</c:v>
                </c:pt>
                <c:pt idx="986">
                  <c:v>33.946700000001762</c:v>
                </c:pt>
                <c:pt idx="987">
                  <c:v>33.946800000001765</c:v>
                </c:pt>
                <c:pt idx="988">
                  <c:v>33.946900000001769</c:v>
                </c:pt>
                <c:pt idx="989">
                  <c:v>33.947000000001772</c:v>
                </c:pt>
                <c:pt idx="990">
                  <c:v>33.947100000001775</c:v>
                </c:pt>
                <c:pt idx="991">
                  <c:v>33.947200000001779</c:v>
                </c:pt>
                <c:pt idx="992">
                  <c:v>33.947300000001782</c:v>
                </c:pt>
                <c:pt idx="993">
                  <c:v>33.947400000001785</c:v>
                </c:pt>
                <c:pt idx="994">
                  <c:v>33.947500000001789</c:v>
                </c:pt>
                <c:pt idx="995">
                  <c:v>33.947600000001792</c:v>
                </c:pt>
                <c:pt idx="996">
                  <c:v>33.947700000001795</c:v>
                </c:pt>
                <c:pt idx="997">
                  <c:v>33.947800000001799</c:v>
                </c:pt>
                <c:pt idx="998">
                  <c:v>33.947900000001802</c:v>
                </c:pt>
                <c:pt idx="999">
                  <c:v>33.948000000001805</c:v>
                </c:pt>
                <c:pt idx="1000">
                  <c:v>33.948100000001808</c:v>
                </c:pt>
              </c:numCache>
            </c:numRef>
          </c:xVal>
          <c:yVal>
            <c:numRef>
              <c:f>Calculs!$AE$4:$AE$1004</c:f>
              <c:numCache>
                <c:formatCode>0</c:formatCode>
                <c:ptCount val="1001"/>
                <c:pt idx="0">
                  <c:v>0</c:v>
                </c:pt>
                <c:pt idx="1">
                  <c:v>8.6628900036048477E-4</c:v>
                </c:pt>
                <c:pt idx="2">
                  <c:v>7.2012236735458125E-3</c:v>
                </c:pt>
                <c:pt idx="3">
                  <c:v>2.5017616524039755E-2</c:v>
                </c:pt>
                <c:pt idx="4">
                  <c:v>5.6354312087586476E-2</c:v>
                </c:pt>
                <c:pt idx="5">
                  <c:v>0.10073493119666843</c:v>
                </c:pt>
                <c:pt idx="6">
                  <c:v>0.15782750892855033</c:v>
                </c:pt>
                <c:pt idx="7">
                  <c:v>0.2275904628140466</c:v>
                </c:pt>
                <c:pt idx="8">
                  <c:v>0.3101276317868239</c:v>
                </c:pt>
                <c:pt idx="9">
                  <c:v>0.40554291741945758</c:v>
                </c:pt>
                <c:pt idx="10">
                  <c:v>0.51394028211170439</c:v>
                </c:pt>
                <c:pt idx="11">
                  <c:v>0.63540864029548572</c:v>
                </c:pt>
                <c:pt idx="12">
                  <c:v>0.77000670842922758</c:v>
                </c:pt>
                <c:pt idx="13">
                  <c:v>0.91777804925889894</c:v>
                </c:pt>
                <c:pt idx="14">
                  <c:v>1.0787661575146401</c:v>
                </c:pt>
                <c:pt idx="15">
                  <c:v>1.2530144585302383</c:v>
                </c:pt>
                <c:pt idx="16">
                  <c:v>1.4405663068577128</c:v>
                </c:pt>
                <c:pt idx="17">
                  <c:v>1.6414649848770997</c:v>
                </c:pt>
                <c:pt idx="18">
                  <c:v>1.8557537014015273</c:v>
                </c:pt>
                <c:pt idx="19">
                  <c:v>2.0834755902776774</c:v>
                </c:pt>
                <c:pt idx="20">
                  <c:v>2.324673708981726</c:v>
                </c:pt>
                <c:pt idx="21">
                  <c:v>2.5793849731424268</c:v>
                </c:pt>
                <c:pt idx="22">
                  <c:v>2.8476340748106428</c:v>
                </c:pt>
                <c:pt idx="23">
                  <c:v>3.1294395216112507</c:v>
                </c:pt>
                <c:pt idx="24">
                  <c:v>3.4248196924281418</c:v>
                </c:pt>
                <c:pt idx="25">
                  <c:v>3.7337928365589774</c:v>
                </c:pt>
                <c:pt idx="26">
                  <c:v>4.0563770728739126</c:v>
                </c:pt>
                <c:pt idx="27">
                  <c:v>4.3925755877908621</c:v>
                </c:pt>
                <c:pt idx="28">
                  <c:v>4.7423908160914694</c:v>
                </c:pt>
                <c:pt idx="29">
                  <c:v>5.1058392494780653</c:v>
                </c:pt>
                <c:pt idx="30">
                  <c:v>5.4829372720818874</c:v>
                </c:pt>
                <c:pt idx="31">
                  <c:v>5.873701168246237</c:v>
                </c:pt>
                <c:pt idx="32">
                  <c:v>6.2781471194657898</c:v>
                </c:pt>
                <c:pt idx="33">
                  <c:v>6.6962912015466713</c:v>
                </c:pt>
                <c:pt idx="34">
                  <c:v>7.1281493819604114</c:v>
                </c:pt>
                <c:pt idx="35">
                  <c:v>7.5737375173689676</c:v>
                </c:pt>
                <c:pt idx="36">
                  <c:v>8.0330713513014143</c:v>
                </c:pt>
                <c:pt idx="37">
                  <c:v>8.5061665119656507</c:v>
                </c:pt>
                <c:pt idx="38">
                  <c:v>8.9930385101808419</c:v>
                </c:pt>
                <c:pt idx="39">
                  <c:v>9.4937027374182215</c:v>
                </c:pt>
                <c:pt idx="40">
                  <c:v>10.00817446393954</c:v>
                </c:pt>
                <c:pt idx="41">
                  <c:v>10.536464117495703</c:v>
                </c:pt>
                <c:pt idx="42">
                  <c:v>11.07857255109665</c:v>
                </c:pt>
                <c:pt idx="43">
                  <c:v>11.634495745555906</c:v>
                </c:pt>
                <c:pt idx="44">
                  <c:v>12.204229523373577</c:v>
                </c:pt>
                <c:pt idx="45">
                  <c:v>12.787769547775413</c:v>
                </c:pt>
                <c:pt idx="46">
                  <c:v>13.385111321818952</c:v>
                </c:pt>
                <c:pt idx="47">
                  <c:v>13.996250187561616</c:v>
                </c:pt>
                <c:pt idx="48">
                  <c:v>14.621181325286233</c:v>
                </c:pt>
                <c:pt idx="49">
                  <c:v>15.259899752779951</c:v>
                </c:pt>
                <c:pt idx="50">
                  <c:v>15.91240032466289</c:v>
                </c:pt>
                <c:pt idx="51">
                  <c:v>16.578677731763335</c:v>
                </c:pt>
                <c:pt idx="52">
                  <c:v>17.258726500536522</c:v>
                </c:pt>
                <c:pt idx="53">
                  <c:v>17.952540992524415</c:v>
                </c:pt>
                <c:pt idx="54">
                  <c:v>18.660115403854107</c:v>
                </c:pt>
                <c:pt idx="55">
                  <c:v>19.381443764772694</c:v>
                </c:pt>
                <c:pt idx="56">
                  <c:v>20.116519939216683</c:v>
                </c:pt>
                <c:pt idx="57">
                  <c:v>20.865337624414206</c:v>
                </c:pt>
                <c:pt idx="58">
                  <c:v>21.627890350518371</c:v>
                </c:pt>
                <c:pt idx="59">
                  <c:v>22.404171480270371</c:v>
                </c:pt>
                <c:pt idx="60">
                  <c:v>23.194174208690953</c:v>
                </c:pt>
                <c:pt idx="61">
                  <c:v>23.997891562799051</c:v>
                </c:pt>
                <c:pt idx="62">
                  <c:v>24.815316401356483</c:v>
                </c:pt>
                <c:pt idx="63">
                  <c:v>25.646441414637643</c:v>
                </c:pt>
                <c:pt idx="64">
                  <c:v>26.491259124223284</c:v>
                </c:pt>
                <c:pt idx="65">
                  <c:v>27.349761882817514</c:v>
                </c:pt>
                <c:pt idx="66">
                  <c:v>28.221941874087179</c:v>
                </c:pt>
                <c:pt idx="67">
                  <c:v>29.107791112522925</c:v>
                </c:pt>
                <c:pt idx="68">
                  <c:v>30.007301443321229</c:v>
                </c:pt>
                <c:pt idx="69">
                  <c:v>30.920464542286776</c:v>
                </c:pt>
                <c:pt idx="70">
                  <c:v>31.847271915754604</c:v>
                </c:pt>
                <c:pt idx="71">
                  <c:v>32.787714900531427</c:v>
                </c:pt>
                <c:pt idx="72">
                  <c:v>33.741784663855668</c:v>
                </c:pt>
                <c:pt idx="73">
                  <c:v>34.709472203375725</c:v>
                </c:pt>
                <c:pt idx="74">
                  <c:v>35.690768347145983</c:v>
                </c:pt>
                <c:pt idx="75">
                  <c:v>36.685663753640199</c:v>
                </c:pt>
                <c:pt idx="76">
                  <c:v>37.694148911781852</c:v>
                </c:pt>
                <c:pt idx="77">
                  <c:v>38.716214140991106</c:v>
                </c:pt>
                <c:pt idx="78">
                  <c:v>39.751849591248018</c:v>
                </c:pt>
                <c:pt idx="79">
                  <c:v>40.8010452431717</c:v>
                </c:pt>
                <c:pt idx="80">
                  <c:v>41.863790908115085</c:v>
                </c:pt>
                <c:pt idx="81">
                  <c:v>42.940071429945675</c:v>
                </c:pt>
                <c:pt idx="82">
                  <c:v>44.029861877728656</c:v>
                </c:pt>
                <c:pt idx="83">
                  <c:v>45.133132333118112</c:v>
                </c:pt>
                <c:pt idx="84">
                  <c:v>46.24985268725333</c:v>
                </c:pt>
                <c:pt idx="85">
                  <c:v>47.379992641684524</c:v>
                </c:pt>
                <c:pt idx="86">
                  <c:v>48.523521709314743</c:v>
                </c:pt>
                <c:pt idx="87">
                  <c:v>49.680409215357621</c:v>
                </c:pt>
                <c:pt idx="88">
                  <c:v>50.850624298310578</c:v>
                </c:pt>
                <c:pt idx="89">
                  <c:v>52.034135910943156</c:v>
                </c:pt>
                <c:pt idx="90">
                  <c:v>53.230912821300144</c:v>
                </c:pt>
                <c:pt idx="91">
                  <c:v>54.440921492624689</c:v>
                </c:pt>
                <c:pt idx="92">
                  <c:v>55.66412395961769</c:v>
                </c:pt>
                <c:pt idx="93">
                  <c:v>56.900479946366985</c:v>
                </c:pt>
                <c:pt idx="94">
                  <c:v>58.14994898815317</c:v>
                </c:pt>
                <c:pt idx="95">
                  <c:v>59.41249043289254</c:v>
                </c:pt>
                <c:pt idx="96">
                  <c:v>60.688063442592998</c:v>
                </c:pt>
                <c:pt idx="97">
                  <c:v>61.976626994822567</c:v>
                </c:pt>
                <c:pt idx="98">
                  <c:v>63.27813988419021</c:v>
                </c:pt>
                <c:pt idx="99">
                  <c:v>64.592560723838545</c:v>
                </c:pt>
                <c:pt idx="100">
                  <c:v>65.919847946948224</c:v>
                </c:pt>
                <c:pt idx="101">
                  <c:v>67.259959468813378</c:v>
                </c:pt>
                <c:pt idx="102">
                  <c:v>68.612852348400565</c:v>
                </c:pt>
                <c:pt idx="103">
                  <c:v>69.978483128767778</c:v>
                </c:pt>
                <c:pt idx="104">
                  <c:v>71.35680817805185</c:v>
                </c:pt>
                <c:pt idx="105">
                  <c:v>72.747783691087108</c:v>
                </c:pt>
                <c:pt idx="106">
                  <c:v>74.151365691033703</c:v>
                </c:pt>
                <c:pt idx="107">
                  <c:v>75.567510031015274</c:v>
                </c:pt>
                <c:pt idx="108">
                  <c:v>76.996172395765669</c:v>
                </c:pt>
                <c:pt idx="109">
                  <c:v>78.437308303284482</c:v>
                </c:pt>
                <c:pt idx="110">
                  <c:v>79.890873106500976</c:v>
                </c:pt>
                <c:pt idx="111">
                  <c:v>81.356825905123841</c:v>
                </c:pt>
                <c:pt idx="112">
                  <c:v>82.835133462881416</c:v>
                </c:pt>
                <c:pt idx="113">
                  <c:v>84.325766304174451</c:v>
                </c:pt>
                <c:pt idx="114">
                  <c:v>85.828694805022124</c:v>
                </c:pt>
                <c:pt idx="115">
                  <c:v>87.343889194101806</c:v>
                </c:pt>
                <c:pt idx="116">
                  <c:v>88.871319553796894</c:v>
                </c:pt>
                <c:pt idx="117">
                  <c:v>90.410955821252557</c:v>
                </c:pt>
                <c:pt idx="118">
                  <c:v>91.962767789439269</c:v>
                </c:pt>
                <c:pt idx="119">
                  <c:v>93.526725108223843</c:v>
                </c:pt>
                <c:pt idx="120">
                  <c:v>95.102797285447949</c:v>
                </c:pt>
                <c:pt idx="121">
                  <c:v>96.690947199186212</c:v>
                </c:pt>
                <c:pt idx="122">
                  <c:v>98.291124602065452</c:v>
                </c:pt>
                <c:pt idx="123">
                  <c:v>99.903272604579229</c:v>
                </c:pt>
                <c:pt idx="124">
                  <c:v>101.52733416692158</c:v>
                </c:pt>
                <c:pt idx="125">
                  <c:v>103.16325210123135</c:v>
                </c:pt>
                <c:pt idx="126">
                  <c:v>104.81096907383936</c:v>
                </c:pt>
                <c:pt idx="127">
                  <c:v>106.47042760751795</c:v>
                </c:pt>
                <c:pt idx="128">
                  <c:v>108.14157008373277</c:v>
                </c:pt>
                <c:pt idx="129">
                  <c:v>109.82433874489629</c:v>
                </c:pt>
                <c:pt idx="130">
                  <c:v>111.51867569662285</c:v>
                </c:pt>
                <c:pt idx="131">
                  <c:v>113.22452121032657</c:v>
                </c:pt>
                <c:pt idx="132">
                  <c:v>114.9418120240928</c:v>
                </c:pt>
                <c:pt idx="133">
                  <c:v>116.67048304351177</c:v>
                </c:pt>
                <c:pt idx="134">
                  <c:v>118.41046904440124</c:v>
                </c:pt>
                <c:pt idx="135">
                  <c:v>120.16170467538571</c:v>
                </c:pt>
                <c:pt idx="136">
                  <c:v>121.92412446047344</c:v>
                </c:pt>
                <c:pt idx="137">
                  <c:v>123.69766280163101</c:v>
                </c:pt>
                <c:pt idx="138">
                  <c:v>125.48225398135497</c:v>
                </c:pt>
                <c:pt idx="139">
                  <c:v>127.27783216524035</c:v>
                </c:pt>
                <c:pt idx="140">
                  <c:v>129.08433140454554</c:v>
                </c:pt>
                <c:pt idx="141">
                  <c:v>130.90166530641716</c:v>
                </c:pt>
                <c:pt idx="142">
                  <c:v>132.72970668816069</c:v>
                </c:pt>
                <c:pt idx="143">
                  <c:v>134.56830790785585</c:v>
                </c:pt>
                <c:pt idx="144">
                  <c:v>136.41732121331219</c:v>
                </c:pt>
                <c:pt idx="145">
                  <c:v>138.2765987493795</c:v>
                </c:pt>
                <c:pt idx="146">
                  <c:v>140.1459925652083</c:v>
                </c:pt>
                <c:pt idx="147">
                  <c:v>142.02535462145951</c:v>
                </c:pt>
                <c:pt idx="148">
                  <c:v>143.91453679746186</c:v>
                </c:pt>
                <c:pt idx="149">
                  <c:v>145.81339089831641</c:v>
                </c:pt>
                <c:pt idx="150">
                  <c:v>147.72176866194664</c:v>
                </c:pt>
                <c:pt idx="151">
                  <c:v>149.63952176609362</c:v>
                </c:pt>
                <c:pt idx="152">
                  <c:v>151.56650183525502</c:v>
                </c:pt>
                <c:pt idx="153">
                  <c:v>153.50256044756694</c:v>
                </c:pt>
                <c:pt idx="154">
                  <c:v>155.4475491416278</c:v>
                </c:pt>
                <c:pt idx="155">
                  <c:v>157.40131942326346</c:v>
                </c:pt>
                <c:pt idx="156">
                  <c:v>159.36362642138494</c:v>
                </c:pt>
                <c:pt idx="157">
                  <c:v>161.33403253120548</c:v>
                </c:pt>
                <c:pt idx="158">
                  <c:v>163.31200386248253</c:v>
                </c:pt>
                <c:pt idx="159">
                  <c:v>165.29700672361676</c:v>
                </c:pt>
                <c:pt idx="160">
                  <c:v>167.28850767439644</c:v>
                </c:pt>
                <c:pt idx="161">
                  <c:v>169.28585106733385</c:v>
                </c:pt>
                <c:pt idx="162">
                  <c:v>171.28813666470111</c:v>
                </c:pt>
                <c:pt idx="163">
                  <c:v>173.29435415616197</c:v>
                </c:pt>
                <c:pt idx="164">
                  <c:v>175.30351764451225</c:v>
                </c:pt>
                <c:pt idx="165">
                  <c:v>177.31477112600189</c:v>
                </c:pt>
                <c:pt idx="166">
                  <c:v>179.32749380789372</c:v>
                </c:pt>
                <c:pt idx="167">
                  <c:v>181.34109384496603</c:v>
                </c:pt>
                <c:pt idx="168">
                  <c:v>183.35486670270612</c:v>
                </c:pt>
                <c:pt idx="169">
                  <c:v>185.36790062680041</c:v>
                </c:pt>
                <c:pt idx="170">
                  <c:v>187.37904673864361</c:v>
                </c:pt>
                <c:pt idx="171">
                  <c:v>189.38750130893436</c:v>
                </c:pt>
                <c:pt idx="172">
                  <c:v>191.39306496401636</c:v>
                </c:pt>
                <c:pt idx="173">
                  <c:v>193.39574354352331</c:v>
                </c:pt>
                <c:pt idx="174">
                  <c:v>195.39554286541716</c:v>
                </c:pt>
                <c:pt idx="175">
                  <c:v>197.39246872609442</c:v>
                </c:pt>
                <c:pt idx="176">
                  <c:v>199.38652690049204</c:v>
                </c:pt>
                <c:pt idx="177">
                  <c:v>201.37772314219248</c:v>
                </c:pt>
                <c:pt idx="178">
                  <c:v>203.36606318352813</c:v>
                </c:pt>
                <c:pt idx="179">
                  <c:v>205.35155273568523</c:v>
                </c:pt>
                <c:pt idx="180">
                  <c:v>207.33419748880698</c:v>
                </c:pt>
                <c:pt idx="181">
                  <c:v>209.31400311209615</c:v>
                </c:pt>
                <c:pt idx="182">
                  <c:v>211.29097525391691</c:v>
                </c:pt>
                <c:pt idx="183">
                  <c:v>213.26511954189621</c:v>
                </c:pt>
                <c:pt idx="184">
                  <c:v>215.23644158302437</c:v>
                </c:pt>
                <c:pt idx="185">
                  <c:v>217.20494696375516</c:v>
                </c:pt>
                <c:pt idx="186">
                  <c:v>219.17064125010526</c:v>
                </c:pt>
                <c:pt idx="187">
                  <c:v>221.13352998775306</c:v>
                </c:pt>
                <c:pt idx="188">
                  <c:v>223.09361870213689</c:v>
                </c:pt>
                <c:pt idx="189">
                  <c:v>225.05091289855264</c:v>
                </c:pt>
                <c:pt idx="190">
                  <c:v>227.00541806225078</c:v>
                </c:pt>
                <c:pt idx="191">
                  <c:v>228.95713965853284</c:v>
                </c:pt>
                <c:pt idx="192">
                  <c:v>230.90608313284724</c:v>
                </c:pt>
                <c:pt idx="193">
                  <c:v>232.85225391088454</c:v>
                </c:pt>
                <c:pt idx="194">
                  <c:v>234.79565739867218</c:v>
                </c:pt>
                <c:pt idx="195">
                  <c:v>236.73629898266853</c:v>
                </c:pt>
                <c:pt idx="196">
                  <c:v>238.67418402985655</c:v>
                </c:pt>
                <c:pt idx="197">
                  <c:v>240.60931788783665</c:v>
                </c:pt>
                <c:pt idx="198">
                  <c:v>242.54170588491922</c:v>
                </c:pt>
                <c:pt idx="199">
                  <c:v>244.47135333021643</c:v>
                </c:pt>
                <c:pt idx="200">
                  <c:v>246.39826551373358</c:v>
                </c:pt>
                <c:pt idx="201">
                  <c:v>265.51735623924014</c:v>
                </c:pt>
                <c:pt idx="202">
                  <c:v>284.36631129770609</c:v>
                </c:pt>
                <c:pt idx="203">
                  <c:v>302.95023953467677</c:v>
                </c:pt>
                <c:pt idx="204">
                  <c:v>321.27407037934501</c:v>
                </c:pt>
                <c:pt idx="205">
                  <c:v>339.34256207921163</c:v>
                </c:pt>
                <c:pt idx="206">
                  <c:v>357.16030946097283</c:v>
                </c:pt>
                <c:pt idx="207">
                  <c:v>374.73175125012062</c:v>
                </c:pt>
                <c:pt idx="208">
                  <c:v>392.06117697916005</c:v>
                </c:pt>
                <c:pt idx="209">
                  <c:v>409.15273351199926</c:v>
                </c:pt>
                <c:pt idx="210">
                  <c:v>426.01043120992881</c:v>
                </c:pt>
                <c:pt idx="211">
                  <c:v>442.63814976265553</c:v>
                </c:pt>
                <c:pt idx="212">
                  <c:v>459.03964370607497</c:v>
                </c:pt>
                <c:pt idx="213">
                  <c:v>475.21854764683849</c:v>
                </c:pt>
                <c:pt idx="214">
                  <c:v>491.17838121228226</c:v>
                </c:pt>
                <c:pt idx="215">
                  <c:v>506.92255374292114</c:v>
                </c:pt>
                <c:pt idx="216">
                  <c:v>522.45436874346012</c:v>
                </c:pt>
                <c:pt idx="217">
                  <c:v>537.77702810712992</c:v>
                </c:pt>
                <c:pt idx="218">
                  <c:v>552.89363612709826</c:v>
                </c:pt>
                <c:pt idx="219">
                  <c:v>567.80720330774102</c:v>
                </c:pt>
                <c:pt idx="220">
                  <c:v>582.52064998766696</c:v>
                </c:pt>
                <c:pt idx="221">
                  <c:v>597.03680978556679</c:v>
                </c:pt>
                <c:pt idx="222">
                  <c:v>611.3584328792042</c:v>
                </c:pt>
                <c:pt idx="223">
                  <c:v>625.48818912716638</c:v>
                </c:pt>
                <c:pt idx="224">
                  <c:v>639.42867104234813</c:v>
                </c:pt>
                <c:pt idx="225">
                  <c:v>653.18239662554959</c:v>
                </c:pt>
                <c:pt idx="226">
                  <c:v>666.75181206701609</c:v>
                </c:pt>
                <c:pt idx="227">
                  <c:v>680.1392943232388</c:v>
                </c:pt>
                <c:pt idx="228">
                  <c:v>693.34715357586549</c:v>
                </c:pt>
                <c:pt idx="229">
                  <c:v>706.37763557913161</c:v>
                </c:pt>
                <c:pt idx="230">
                  <c:v>719.23292390181655</c:v>
                </c:pt>
                <c:pt idx="231">
                  <c:v>731.91514206935449</c:v>
                </c:pt>
                <c:pt idx="232">
                  <c:v>744.42635561137945</c:v>
                </c:pt>
                <c:pt idx="233">
                  <c:v>756.76857401965856</c:v>
                </c:pt>
                <c:pt idx="234">
                  <c:v>768.94375262106632</c:v>
                </c:pt>
                <c:pt idx="235">
                  <c:v>780.95379436997064</c:v>
                </c:pt>
                <c:pt idx="236">
                  <c:v>792.80055156414016</c:v>
                </c:pt>
                <c:pt idx="237">
                  <c:v>804.48582748803756</c:v>
                </c:pt>
                <c:pt idx="238">
                  <c:v>816.01137798713648</c:v>
                </c:pt>
                <c:pt idx="239">
                  <c:v>827.37891297668716</c:v>
                </c:pt>
                <c:pt idx="240">
                  <c:v>838.59009788815729</c:v>
                </c:pt>
                <c:pt idx="241">
                  <c:v>849.64655505638984</c:v>
                </c:pt>
                <c:pt idx="242">
                  <c:v>860.54986505034594</c:v>
                </c:pt>
                <c:pt idx="243">
                  <c:v>871.30156795013932</c:v>
                </c:pt>
                <c:pt idx="244">
                  <c:v>881.90316457291681</c:v>
                </c:pt>
                <c:pt idx="245">
                  <c:v>892.35611764999828</c:v>
                </c:pt>
                <c:pt idx="246">
                  <c:v>902.66185295755554</c:v>
                </c:pt>
                <c:pt idx="247">
                  <c:v>912.82176040298509</c:v>
                </c:pt>
                <c:pt idx="248">
                  <c:v>922.83719506901411</c:v>
                </c:pt>
                <c:pt idx="249">
                  <c:v>932.70947821746779</c:v>
                </c:pt>
                <c:pt idx="250">
                  <c:v>942.43989825452365</c:v>
                </c:pt>
                <c:pt idx="251">
                  <c:v>952.02971165918234</c:v>
                </c:pt>
                <c:pt idx="252">
                  <c:v>961.48014387659305</c:v>
                </c:pt>
                <c:pt idx="253">
                  <c:v>970.79239017778627</c:v>
                </c:pt>
                <c:pt idx="254">
                  <c:v>979.96761648728636</c:v>
                </c:pt>
                <c:pt idx="255">
                  <c:v>989.00696018000099</c:v>
                </c:pt>
                <c:pt idx="256">
                  <c:v>997.91153084871257</c:v>
                </c:pt>
                <c:pt idx="257">
                  <c:v>1006.6824110434319</c:v>
                </c:pt>
                <c:pt idx="258">
                  <c:v>1015.3206569838072</c:v>
                </c:pt>
                <c:pt idx="259">
                  <c:v>1023.8272992457272</c:v>
                </c:pt>
                <c:pt idx="260">
                  <c:v>1032.2033434231957</c:v>
                </c:pt>
                <c:pt idx="261">
                  <c:v>1040.4497707665073</c:v>
                </c:pt>
                <c:pt idx="262">
                  <c:v>1048.5675387976985</c:v>
                </c:pt>
                <c:pt idx="263">
                  <c:v>1056.5575819042072</c:v>
                </c:pt>
                <c:pt idx="264">
                  <c:v>1064.4208119116236</c:v>
                </c:pt>
                <c:pt idx="265">
                  <c:v>1072.1581186363771</c:v>
                </c:pt>
                <c:pt idx="266">
                  <c:v>1079.770370419164</c:v>
                </c:pt>
                <c:pt idx="267">
                  <c:v>1087.2584146398801</c:v>
                </c:pt>
                <c:pt idx="268">
                  <c:v>1094.6230782147918</c:v>
                </c:pt>
                <c:pt idx="269">
                  <c:v>1101.8651680766411</c:v>
                </c:pt>
                <c:pt idx="270">
                  <c:v>1108.9854716383527</c:v>
                </c:pt>
                <c:pt idx="271">
                  <c:v>1115.9847572409769</c:v>
                </c:pt>
                <c:pt idx="272">
                  <c:v>1122.8637745864796</c:v>
                </c:pt>
                <c:pt idx="273">
                  <c:v>1129.6232551559563</c:v>
                </c:pt>
                <c:pt idx="274">
                  <c:v>1136.2639126138315</c:v>
                </c:pt>
                <c:pt idx="275">
                  <c:v>1142.7864431985724</c:v>
                </c:pt>
                <c:pt idx="276">
                  <c:v>1149.1915261004287</c:v>
                </c:pt>
                <c:pt idx="277">
                  <c:v>1155.4798238266876</c:v>
                </c:pt>
                <c:pt idx="278">
                  <c:v>1161.6519825549137</c:v>
                </c:pt>
                <c:pt idx="279">
                  <c:v>1167.7086324746242</c:v>
                </c:pt>
                <c:pt idx="280">
                  <c:v>1173.6503881178335</c:v>
                </c:pt>
                <c:pt idx="281">
                  <c:v>1179.4778486788839</c:v>
                </c:pt>
                <c:pt idx="282">
                  <c:v>1185.1915983239655</c:v>
                </c:pt>
                <c:pt idx="283">
                  <c:v>1190.7922064907116</c:v>
                </c:pt>
                <c:pt idx="284">
                  <c:v>1196.2802281782454</c:v>
                </c:pt>
                <c:pt idx="285">
                  <c:v>1201.6562042280416</c:v>
                </c:pt>
                <c:pt idx="286">
                  <c:v>1206.9206615959536</c:v>
                </c:pt>
                <c:pt idx="287">
                  <c:v>1212.074113615749</c:v>
                </c:pt>
                <c:pt idx="288">
                  <c:v>1217.1170602544862</c:v>
                </c:pt>
                <c:pt idx="289">
                  <c:v>1222.049988360058</c:v>
                </c:pt>
                <c:pt idx="290">
                  <c:v>1226.8733719012212</c:v>
                </c:pt>
                <c:pt idx="291">
                  <c:v>1231.5876722004245</c:v>
                </c:pt>
                <c:pt idx="292">
                  <c:v>1236.1933381597455</c:v>
                </c:pt>
                <c:pt idx="293">
                  <c:v>1240.6908064802408</c:v>
                </c:pt>
                <c:pt idx="294">
                  <c:v>1245.0805018750166</c:v>
                </c:pt>
                <c:pt idx="295">
                  <c:v>1249.3628372763205</c:v>
                </c:pt>
                <c:pt idx="296">
                  <c:v>1253.5382140369641</c:v>
                </c:pt>
                <c:pt idx="297">
                  <c:v>1257.6070221263801</c:v>
                </c:pt>
                <c:pt idx="298">
                  <c:v>1261.5696403216336</c:v>
                </c:pt>
                <c:pt idx="299">
                  <c:v>1265.4264363937018</c:v>
                </c:pt>
                <c:pt idx="300">
                  <c:v>1269.177767289355</c:v>
                </c:pt>
                <c:pt idx="301">
                  <c:v>1272.8239793089767</c:v>
                </c:pt>
                <c:pt idx="302">
                  <c:v>1276.3654082806811</c:v>
                </c:pt>
                <c:pt idx="303">
                  <c:v>1279.8023797310921</c:v>
                </c:pt>
                <c:pt idx="304">
                  <c:v>1283.1352090531809</c:v>
                </c:pt>
                <c:pt idx="305">
                  <c:v>1286.364201671573</c:v>
                </c:pt>
                <c:pt idx="306">
                  <c:v>1289.4896532057635</c:v>
                </c:pt>
                <c:pt idx="307">
                  <c:v>1292.5118496317145</c:v>
                </c:pt>
                <c:pt idx="308">
                  <c:v>1295.43106744234</c:v>
                </c:pt>
                <c:pt idx="309">
                  <c:v>1298.247573807424</c:v>
                </c:pt>
                <c:pt idx="310">
                  <c:v>1300.961626733563</c:v>
                </c:pt>
                <c:pt idx="311">
                  <c:v>1303.5734752247736</c:v>
                </c:pt>
                <c:pt idx="312">
                  <c:v>1306.0833594444616</c:v>
                </c:pt>
                <c:pt idx="313">
                  <c:v>1308.491510879508</c:v>
                </c:pt>
                <c:pt idx="314">
                  <c:v>1310.7981525072958</c:v>
                </c:pt>
                <c:pt idx="315">
                  <c:v>1313.0034989665689</c:v>
                </c:pt>
                <c:pt idx="316">
                  <c:v>1315.107756733094</c:v>
                </c:pt>
                <c:pt idx="317">
                  <c:v>1317.1111243011665</c:v>
                </c:pt>
                <c:pt idx="318">
                  <c:v>1319.0137923720883</c:v>
                </c:pt>
                <c:pt idx="319">
                  <c:v>1320.81594405082</c:v>
                </c:pt>
                <c:pt idx="320">
                  <c:v>1322.51775505208</c:v>
                </c:pt>
                <c:pt idx="321">
                  <c:v>1324.1193939172363</c:v>
                </c:pt>
                <c:pt idx="322">
                  <c:v>1325.621022243381</c:v>
                </c:pt>
                <c:pt idx="323">
                  <c:v>1327.0227949260161</c:v>
                </c:pt>
                <c:pt idx="324">
                  <c:v>1328.3248604167791</c:v>
                </c:pt>
                <c:pt idx="325">
                  <c:v>1329.5273609976141</c:v>
                </c:pt>
                <c:pt idx="326">
                  <c:v>1330.6304330727162</c:v>
                </c:pt>
                <c:pt idx="327">
                  <c:v>1331.6342074794536</c:v>
                </c:pt>
                <c:pt idx="328">
                  <c:v>1332.5388098192857</c:v>
                </c:pt>
                <c:pt idx="329">
                  <c:v>1333.3443608094392</c:v>
                </c:pt>
                <c:pt idx="330">
                  <c:v>1334.0509766557805</c:v>
                </c:pt>
                <c:pt idx="331">
                  <c:v>1334.6587694469183</c:v>
                </c:pt>
                <c:pt idx="332">
                  <c:v>1335.1678475691085</c:v>
                </c:pt>
                <c:pt idx="333">
                  <c:v>1335.5783161410031</c:v>
                </c:pt>
                <c:pt idx="334">
                  <c:v>1335.8902774667242</c:v>
                </c:pt>
                <c:pt idx="335">
                  <c:v>1336.1038315051574</c:v>
                </c:pt>
                <c:pt idx="336">
                  <c:v>1336.2190763527988</c:v>
                </c:pt>
                <c:pt idx="337">
                  <c:v>1336.2361087369588</c:v>
                </c:pt>
                <c:pt idx="338">
                  <c:v>1336.1550245156895</c:v>
                </c:pt>
                <c:pt idx="339">
                  <c:v>1335.9759191804633</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4</c:v>
                </c:pt>
              </c:numCache>
            </c:numRef>
          </c:xVal>
          <c:yVal>
            <c:numRef>
              <c:f>Trajecto!$C$158</c:f>
              <c:numCache>
                <c:formatCode>0</c:formatCode>
                <c:ptCount val="1"/>
                <c:pt idx="0">
                  <c:v>667.84944417871782</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24.750000000000085</c:v>
                </c:pt>
              </c:numCache>
            </c:numRef>
          </c:xVal>
          <c:yVal>
            <c:numRef>
              <c:f>Trajecto!$C$159</c:f>
              <c:numCache>
                <c:formatCode>0</c:formatCode>
                <c:ptCount val="1"/>
                <c:pt idx="0">
                  <c:v>668.10953817639938</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33.900100000000215</c:v>
                </c:pt>
                <c:pt idx="521">
                  <c:v>33.900200000000218</c:v>
                </c:pt>
                <c:pt idx="522">
                  <c:v>33.900300000000222</c:v>
                </c:pt>
                <c:pt idx="523">
                  <c:v>33.900400000000225</c:v>
                </c:pt>
                <c:pt idx="524">
                  <c:v>33.900500000000228</c:v>
                </c:pt>
                <c:pt idx="525">
                  <c:v>33.900600000000232</c:v>
                </c:pt>
                <c:pt idx="526">
                  <c:v>33.900700000000235</c:v>
                </c:pt>
                <c:pt idx="527">
                  <c:v>33.900800000000238</c:v>
                </c:pt>
                <c:pt idx="528">
                  <c:v>33.900900000000242</c:v>
                </c:pt>
                <c:pt idx="529">
                  <c:v>33.901000000000245</c:v>
                </c:pt>
                <c:pt idx="530">
                  <c:v>33.901100000000248</c:v>
                </c:pt>
                <c:pt idx="531">
                  <c:v>33.901200000000252</c:v>
                </c:pt>
                <c:pt idx="532">
                  <c:v>33.901300000000255</c:v>
                </c:pt>
                <c:pt idx="533">
                  <c:v>33.901400000000258</c:v>
                </c:pt>
                <c:pt idx="534">
                  <c:v>33.901500000000262</c:v>
                </c:pt>
                <c:pt idx="535">
                  <c:v>33.901600000000265</c:v>
                </c:pt>
                <c:pt idx="536">
                  <c:v>33.901700000000268</c:v>
                </c:pt>
                <c:pt idx="537">
                  <c:v>33.901800000000271</c:v>
                </c:pt>
                <c:pt idx="538">
                  <c:v>33.901900000000275</c:v>
                </c:pt>
                <c:pt idx="539">
                  <c:v>33.902000000000278</c:v>
                </c:pt>
                <c:pt idx="540">
                  <c:v>33.902100000000281</c:v>
                </c:pt>
                <c:pt idx="541">
                  <c:v>33.902200000000285</c:v>
                </c:pt>
                <c:pt idx="542">
                  <c:v>33.902300000000288</c:v>
                </c:pt>
                <c:pt idx="543">
                  <c:v>33.902400000000291</c:v>
                </c:pt>
                <c:pt idx="544">
                  <c:v>33.902500000000295</c:v>
                </c:pt>
                <c:pt idx="545">
                  <c:v>33.902600000000298</c:v>
                </c:pt>
                <c:pt idx="546">
                  <c:v>33.902700000000301</c:v>
                </c:pt>
                <c:pt idx="547">
                  <c:v>33.902800000000305</c:v>
                </c:pt>
                <c:pt idx="548">
                  <c:v>33.902900000000308</c:v>
                </c:pt>
                <c:pt idx="549">
                  <c:v>33.903000000000311</c:v>
                </c:pt>
                <c:pt idx="550">
                  <c:v>33.903100000000315</c:v>
                </c:pt>
                <c:pt idx="551">
                  <c:v>33.903200000000318</c:v>
                </c:pt>
                <c:pt idx="552">
                  <c:v>33.903300000000321</c:v>
                </c:pt>
                <c:pt idx="553">
                  <c:v>33.903400000000325</c:v>
                </c:pt>
                <c:pt idx="554">
                  <c:v>33.903500000000328</c:v>
                </c:pt>
                <c:pt idx="555">
                  <c:v>33.903600000000331</c:v>
                </c:pt>
                <c:pt idx="556">
                  <c:v>33.903700000000335</c:v>
                </c:pt>
                <c:pt idx="557">
                  <c:v>33.903800000000338</c:v>
                </c:pt>
                <c:pt idx="558">
                  <c:v>33.903900000000341</c:v>
                </c:pt>
                <c:pt idx="559">
                  <c:v>33.904000000000345</c:v>
                </c:pt>
                <c:pt idx="560">
                  <c:v>33.904100000000348</c:v>
                </c:pt>
                <c:pt idx="561">
                  <c:v>33.904200000000351</c:v>
                </c:pt>
                <c:pt idx="562">
                  <c:v>33.904300000000354</c:v>
                </c:pt>
                <c:pt idx="563">
                  <c:v>33.904400000000358</c:v>
                </c:pt>
                <c:pt idx="564">
                  <c:v>33.904500000000361</c:v>
                </c:pt>
                <c:pt idx="565">
                  <c:v>33.904600000000364</c:v>
                </c:pt>
                <c:pt idx="566">
                  <c:v>33.904700000000368</c:v>
                </c:pt>
                <c:pt idx="567">
                  <c:v>33.904800000000371</c:v>
                </c:pt>
                <c:pt idx="568">
                  <c:v>33.904900000000374</c:v>
                </c:pt>
                <c:pt idx="569">
                  <c:v>33.905000000000378</c:v>
                </c:pt>
                <c:pt idx="570">
                  <c:v>33.905100000000381</c:v>
                </c:pt>
                <c:pt idx="571">
                  <c:v>33.905200000000384</c:v>
                </c:pt>
                <c:pt idx="572">
                  <c:v>33.905300000000388</c:v>
                </c:pt>
                <c:pt idx="573">
                  <c:v>33.905400000000391</c:v>
                </c:pt>
                <c:pt idx="574">
                  <c:v>33.905500000000394</c:v>
                </c:pt>
                <c:pt idx="575">
                  <c:v>33.905600000000398</c:v>
                </c:pt>
                <c:pt idx="576">
                  <c:v>33.905700000000401</c:v>
                </c:pt>
                <c:pt idx="577">
                  <c:v>33.905800000000404</c:v>
                </c:pt>
                <c:pt idx="578">
                  <c:v>33.905900000000408</c:v>
                </c:pt>
                <c:pt idx="579">
                  <c:v>33.906000000000411</c:v>
                </c:pt>
                <c:pt idx="580">
                  <c:v>33.906100000000414</c:v>
                </c:pt>
                <c:pt idx="581">
                  <c:v>33.906200000000418</c:v>
                </c:pt>
                <c:pt idx="582">
                  <c:v>33.906300000000421</c:v>
                </c:pt>
                <c:pt idx="583">
                  <c:v>33.906400000000424</c:v>
                </c:pt>
                <c:pt idx="584">
                  <c:v>33.906500000000428</c:v>
                </c:pt>
                <c:pt idx="585">
                  <c:v>33.906600000000431</c:v>
                </c:pt>
                <c:pt idx="586">
                  <c:v>33.906700000000434</c:v>
                </c:pt>
                <c:pt idx="587">
                  <c:v>33.906800000000437</c:v>
                </c:pt>
                <c:pt idx="588">
                  <c:v>33.906900000000441</c:v>
                </c:pt>
                <c:pt idx="589">
                  <c:v>33.907000000000444</c:v>
                </c:pt>
                <c:pt idx="590">
                  <c:v>33.907100000000447</c:v>
                </c:pt>
                <c:pt idx="591">
                  <c:v>33.907200000000451</c:v>
                </c:pt>
                <c:pt idx="592">
                  <c:v>33.907300000000454</c:v>
                </c:pt>
                <c:pt idx="593">
                  <c:v>33.907400000000457</c:v>
                </c:pt>
                <c:pt idx="594">
                  <c:v>33.907500000000461</c:v>
                </c:pt>
                <c:pt idx="595">
                  <c:v>33.907600000000464</c:v>
                </c:pt>
                <c:pt idx="596">
                  <c:v>33.907700000000467</c:v>
                </c:pt>
                <c:pt idx="597">
                  <c:v>33.907800000000471</c:v>
                </c:pt>
                <c:pt idx="598">
                  <c:v>33.907900000000474</c:v>
                </c:pt>
                <c:pt idx="599">
                  <c:v>33.908000000000477</c:v>
                </c:pt>
                <c:pt idx="600">
                  <c:v>33.908100000000481</c:v>
                </c:pt>
                <c:pt idx="601">
                  <c:v>33.908200000000484</c:v>
                </c:pt>
                <c:pt idx="602">
                  <c:v>33.908300000000487</c:v>
                </c:pt>
                <c:pt idx="603">
                  <c:v>33.908400000000491</c:v>
                </c:pt>
                <c:pt idx="604">
                  <c:v>33.908500000000494</c:v>
                </c:pt>
                <c:pt idx="605">
                  <c:v>33.908600000000497</c:v>
                </c:pt>
                <c:pt idx="606">
                  <c:v>33.908700000000501</c:v>
                </c:pt>
                <c:pt idx="607">
                  <c:v>33.908800000000504</c:v>
                </c:pt>
                <c:pt idx="608">
                  <c:v>33.908900000000507</c:v>
                </c:pt>
                <c:pt idx="609">
                  <c:v>33.909000000000511</c:v>
                </c:pt>
                <c:pt idx="610">
                  <c:v>33.909100000000514</c:v>
                </c:pt>
                <c:pt idx="611">
                  <c:v>33.909200000000517</c:v>
                </c:pt>
                <c:pt idx="612">
                  <c:v>33.90930000000052</c:v>
                </c:pt>
                <c:pt idx="613">
                  <c:v>33.909400000000524</c:v>
                </c:pt>
                <c:pt idx="614">
                  <c:v>33.909500000000527</c:v>
                </c:pt>
                <c:pt idx="615">
                  <c:v>33.90960000000053</c:v>
                </c:pt>
                <c:pt idx="616">
                  <c:v>33.909700000000534</c:v>
                </c:pt>
                <c:pt idx="617">
                  <c:v>33.909800000000537</c:v>
                </c:pt>
                <c:pt idx="618">
                  <c:v>33.90990000000054</c:v>
                </c:pt>
                <c:pt idx="619">
                  <c:v>33.910000000000544</c:v>
                </c:pt>
                <c:pt idx="620">
                  <c:v>33.910100000000547</c:v>
                </c:pt>
                <c:pt idx="621">
                  <c:v>33.91020000000055</c:v>
                </c:pt>
                <c:pt idx="622">
                  <c:v>33.910300000000554</c:v>
                </c:pt>
                <c:pt idx="623">
                  <c:v>33.910400000000557</c:v>
                </c:pt>
                <c:pt idx="624">
                  <c:v>33.91050000000056</c:v>
                </c:pt>
                <c:pt idx="625">
                  <c:v>33.910600000000564</c:v>
                </c:pt>
                <c:pt idx="626">
                  <c:v>33.910700000000567</c:v>
                </c:pt>
                <c:pt idx="627">
                  <c:v>33.91080000000057</c:v>
                </c:pt>
                <c:pt idx="628">
                  <c:v>33.910900000000574</c:v>
                </c:pt>
                <c:pt idx="629">
                  <c:v>33.911000000000577</c:v>
                </c:pt>
                <c:pt idx="630">
                  <c:v>33.91110000000058</c:v>
                </c:pt>
                <c:pt idx="631">
                  <c:v>33.911200000000584</c:v>
                </c:pt>
                <c:pt idx="632">
                  <c:v>33.911300000000587</c:v>
                </c:pt>
                <c:pt idx="633">
                  <c:v>33.91140000000059</c:v>
                </c:pt>
                <c:pt idx="634">
                  <c:v>33.911500000000594</c:v>
                </c:pt>
                <c:pt idx="635">
                  <c:v>33.911600000000597</c:v>
                </c:pt>
                <c:pt idx="636">
                  <c:v>33.9117000000006</c:v>
                </c:pt>
                <c:pt idx="637">
                  <c:v>33.911800000000603</c:v>
                </c:pt>
                <c:pt idx="638">
                  <c:v>33.911900000000607</c:v>
                </c:pt>
                <c:pt idx="639">
                  <c:v>33.91200000000061</c:v>
                </c:pt>
                <c:pt idx="640">
                  <c:v>33.912100000000613</c:v>
                </c:pt>
                <c:pt idx="641">
                  <c:v>33.912200000000617</c:v>
                </c:pt>
                <c:pt idx="642">
                  <c:v>33.91230000000062</c:v>
                </c:pt>
                <c:pt idx="643">
                  <c:v>33.912400000000623</c:v>
                </c:pt>
                <c:pt idx="644">
                  <c:v>33.912500000000627</c:v>
                </c:pt>
                <c:pt idx="645">
                  <c:v>33.91260000000063</c:v>
                </c:pt>
                <c:pt idx="646">
                  <c:v>33.912700000000633</c:v>
                </c:pt>
                <c:pt idx="647">
                  <c:v>33.912800000000637</c:v>
                </c:pt>
                <c:pt idx="648">
                  <c:v>33.91290000000064</c:v>
                </c:pt>
                <c:pt idx="649">
                  <c:v>33.913000000000643</c:v>
                </c:pt>
                <c:pt idx="650">
                  <c:v>33.913100000000647</c:v>
                </c:pt>
                <c:pt idx="651">
                  <c:v>33.91320000000065</c:v>
                </c:pt>
                <c:pt idx="652">
                  <c:v>33.913300000000653</c:v>
                </c:pt>
                <c:pt idx="653">
                  <c:v>33.913400000000657</c:v>
                </c:pt>
                <c:pt idx="654">
                  <c:v>33.91350000000066</c:v>
                </c:pt>
                <c:pt idx="655">
                  <c:v>33.913600000000663</c:v>
                </c:pt>
                <c:pt idx="656">
                  <c:v>33.913700000000667</c:v>
                </c:pt>
                <c:pt idx="657">
                  <c:v>33.91380000000067</c:v>
                </c:pt>
                <c:pt idx="658">
                  <c:v>33.913900000000673</c:v>
                </c:pt>
                <c:pt idx="659">
                  <c:v>33.914000000000676</c:v>
                </c:pt>
                <c:pt idx="660">
                  <c:v>33.91410000000068</c:v>
                </c:pt>
                <c:pt idx="661">
                  <c:v>33.914200000000683</c:v>
                </c:pt>
                <c:pt idx="662">
                  <c:v>33.914300000000686</c:v>
                </c:pt>
                <c:pt idx="663">
                  <c:v>33.91440000000069</c:v>
                </c:pt>
                <c:pt idx="664">
                  <c:v>33.914500000000693</c:v>
                </c:pt>
                <c:pt idx="665">
                  <c:v>33.914600000000696</c:v>
                </c:pt>
                <c:pt idx="666">
                  <c:v>33.9147000000007</c:v>
                </c:pt>
                <c:pt idx="667">
                  <c:v>33.914800000000703</c:v>
                </c:pt>
                <c:pt idx="668">
                  <c:v>33.914900000000706</c:v>
                </c:pt>
                <c:pt idx="669">
                  <c:v>33.91500000000071</c:v>
                </c:pt>
                <c:pt idx="670">
                  <c:v>33.915100000000713</c:v>
                </c:pt>
                <c:pt idx="671">
                  <c:v>33.915200000000716</c:v>
                </c:pt>
                <c:pt idx="672">
                  <c:v>33.91530000000072</c:v>
                </c:pt>
                <c:pt idx="673">
                  <c:v>33.915400000000723</c:v>
                </c:pt>
                <c:pt idx="674">
                  <c:v>33.915500000000726</c:v>
                </c:pt>
                <c:pt idx="675">
                  <c:v>33.91560000000073</c:v>
                </c:pt>
                <c:pt idx="676">
                  <c:v>33.915700000000733</c:v>
                </c:pt>
                <c:pt idx="677">
                  <c:v>33.915800000000736</c:v>
                </c:pt>
                <c:pt idx="678">
                  <c:v>33.91590000000074</c:v>
                </c:pt>
                <c:pt idx="679">
                  <c:v>33.916000000000743</c:v>
                </c:pt>
                <c:pt idx="680">
                  <c:v>33.916100000000746</c:v>
                </c:pt>
                <c:pt idx="681">
                  <c:v>33.91620000000075</c:v>
                </c:pt>
                <c:pt idx="682">
                  <c:v>33.916300000000753</c:v>
                </c:pt>
                <c:pt idx="683">
                  <c:v>33.916400000000756</c:v>
                </c:pt>
                <c:pt idx="684">
                  <c:v>33.916500000000759</c:v>
                </c:pt>
                <c:pt idx="685">
                  <c:v>33.916600000000763</c:v>
                </c:pt>
                <c:pt idx="686">
                  <c:v>33.916700000000766</c:v>
                </c:pt>
                <c:pt idx="687">
                  <c:v>33.916800000000769</c:v>
                </c:pt>
                <c:pt idx="688">
                  <c:v>33.916900000000773</c:v>
                </c:pt>
                <c:pt idx="689">
                  <c:v>33.917000000000776</c:v>
                </c:pt>
                <c:pt idx="690">
                  <c:v>33.917100000000779</c:v>
                </c:pt>
                <c:pt idx="691">
                  <c:v>33.917200000000783</c:v>
                </c:pt>
                <c:pt idx="692">
                  <c:v>33.917300000000786</c:v>
                </c:pt>
                <c:pt idx="693">
                  <c:v>33.917400000000789</c:v>
                </c:pt>
                <c:pt idx="694">
                  <c:v>33.917500000000793</c:v>
                </c:pt>
                <c:pt idx="695">
                  <c:v>33.917600000000796</c:v>
                </c:pt>
                <c:pt idx="696">
                  <c:v>33.917700000000799</c:v>
                </c:pt>
                <c:pt idx="697">
                  <c:v>33.917800000000803</c:v>
                </c:pt>
                <c:pt idx="698">
                  <c:v>33.917900000000806</c:v>
                </c:pt>
                <c:pt idx="699">
                  <c:v>33.918000000000809</c:v>
                </c:pt>
                <c:pt idx="700">
                  <c:v>33.918100000000813</c:v>
                </c:pt>
                <c:pt idx="701">
                  <c:v>33.918200000000816</c:v>
                </c:pt>
                <c:pt idx="702">
                  <c:v>33.918300000000819</c:v>
                </c:pt>
                <c:pt idx="703">
                  <c:v>33.918400000000823</c:v>
                </c:pt>
                <c:pt idx="704">
                  <c:v>33.918500000000826</c:v>
                </c:pt>
                <c:pt idx="705">
                  <c:v>33.918600000000829</c:v>
                </c:pt>
                <c:pt idx="706">
                  <c:v>33.918700000000833</c:v>
                </c:pt>
                <c:pt idx="707">
                  <c:v>33.918800000000836</c:v>
                </c:pt>
                <c:pt idx="708">
                  <c:v>33.918900000000839</c:v>
                </c:pt>
                <c:pt idx="709">
                  <c:v>33.919000000000842</c:v>
                </c:pt>
                <c:pt idx="710">
                  <c:v>33.919100000000846</c:v>
                </c:pt>
                <c:pt idx="711">
                  <c:v>33.919200000000849</c:v>
                </c:pt>
                <c:pt idx="712">
                  <c:v>33.919300000000852</c:v>
                </c:pt>
                <c:pt idx="713">
                  <c:v>33.919400000000856</c:v>
                </c:pt>
                <c:pt idx="714">
                  <c:v>33.919500000000859</c:v>
                </c:pt>
                <c:pt idx="715">
                  <c:v>33.919600000000862</c:v>
                </c:pt>
                <c:pt idx="716">
                  <c:v>33.919700000000866</c:v>
                </c:pt>
                <c:pt idx="717">
                  <c:v>33.919800000000869</c:v>
                </c:pt>
                <c:pt idx="718">
                  <c:v>33.919900000000872</c:v>
                </c:pt>
                <c:pt idx="719">
                  <c:v>33.920000000000876</c:v>
                </c:pt>
                <c:pt idx="720">
                  <c:v>33.920100000000879</c:v>
                </c:pt>
                <c:pt idx="721">
                  <c:v>33.920200000000882</c:v>
                </c:pt>
                <c:pt idx="722">
                  <c:v>33.920300000000886</c:v>
                </c:pt>
                <c:pt idx="723">
                  <c:v>33.920400000000889</c:v>
                </c:pt>
                <c:pt idx="724">
                  <c:v>33.920500000000892</c:v>
                </c:pt>
                <c:pt idx="725">
                  <c:v>33.920600000000896</c:v>
                </c:pt>
                <c:pt idx="726">
                  <c:v>33.920700000000899</c:v>
                </c:pt>
                <c:pt idx="727">
                  <c:v>33.920800000000902</c:v>
                </c:pt>
                <c:pt idx="728">
                  <c:v>33.920900000000906</c:v>
                </c:pt>
                <c:pt idx="729">
                  <c:v>33.921000000000909</c:v>
                </c:pt>
                <c:pt idx="730">
                  <c:v>33.921100000000912</c:v>
                </c:pt>
                <c:pt idx="731">
                  <c:v>33.921200000000916</c:v>
                </c:pt>
                <c:pt idx="732">
                  <c:v>33.921300000000919</c:v>
                </c:pt>
                <c:pt idx="733">
                  <c:v>33.921400000000922</c:v>
                </c:pt>
                <c:pt idx="734">
                  <c:v>33.921500000000925</c:v>
                </c:pt>
                <c:pt idx="735">
                  <c:v>33.921600000000929</c:v>
                </c:pt>
                <c:pt idx="736">
                  <c:v>33.921700000000932</c:v>
                </c:pt>
                <c:pt idx="737">
                  <c:v>33.921800000000935</c:v>
                </c:pt>
                <c:pt idx="738">
                  <c:v>33.921900000000939</c:v>
                </c:pt>
                <c:pt idx="739">
                  <c:v>33.922000000000942</c:v>
                </c:pt>
                <c:pt idx="740">
                  <c:v>33.922100000000945</c:v>
                </c:pt>
                <c:pt idx="741">
                  <c:v>33.922200000000949</c:v>
                </c:pt>
                <c:pt idx="742">
                  <c:v>33.922300000000952</c:v>
                </c:pt>
                <c:pt idx="743">
                  <c:v>33.922400000000955</c:v>
                </c:pt>
                <c:pt idx="744">
                  <c:v>33.922500000000959</c:v>
                </c:pt>
                <c:pt idx="745">
                  <c:v>33.922600000000962</c:v>
                </c:pt>
                <c:pt idx="746">
                  <c:v>33.922700000000965</c:v>
                </c:pt>
                <c:pt idx="747">
                  <c:v>33.922800000000969</c:v>
                </c:pt>
                <c:pt idx="748">
                  <c:v>33.922900000000972</c:v>
                </c:pt>
                <c:pt idx="749">
                  <c:v>33.923000000000975</c:v>
                </c:pt>
                <c:pt idx="750">
                  <c:v>33.923100000000979</c:v>
                </c:pt>
                <c:pt idx="751">
                  <c:v>33.923200000000982</c:v>
                </c:pt>
                <c:pt idx="752">
                  <c:v>33.923300000000985</c:v>
                </c:pt>
                <c:pt idx="753">
                  <c:v>33.923400000000989</c:v>
                </c:pt>
                <c:pt idx="754">
                  <c:v>33.923500000000992</c:v>
                </c:pt>
                <c:pt idx="755">
                  <c:v>33.923600000000995</c:v>
                </c:pt>
                <c:pt idx="756">
                  <c:v>33.923700000000999</c:v>
                </c:pt>
                <c:pt idx="757">
                  <c:v>33.923800000001002</c:v>
                </c:pt>
                <c:pt idx="758">
                  <c:v>33.923900000001005</c:v>
                </c:pt>
                <c:pt idx="759">
                  <c:v>33.924000000001008</c:v>
                </c:pt>
                <c:pt idx="760">
                  <c:v>33.924100000001012</c:v>
                </c:pt>
                <c:pt idx="761">
                  <c:v>33.924200000001015</c:v>
                </c:pt>
                <c:pt idx="762">
                  <c:v>33.924300000001018</c:v>
                </c:pt>
                <c:pt idx="763">
                  <c:v>33.924400000001022</c:v>
                </c:pt>
                <c:pt idx="764">
                  <c:v>33.924500000001025</c:v>
                </c:pt>
                <c:pt idx="765">
                  <c:v>33.924600000001028</c:v>
                </c:pt>
                <c:pt idx="766">
                  <c:v>33.924700000001032</c:v>
                </c:pt>
                <c:pt idx="767">
                  <c:v>33.924800000001035</c:v>
                </c:pt>
                <c:pt idx="768">
                  <c:v>33.924900000001038</c:v>
                </c:pt>
                <c:pt idx="769">
                  <c:v>33.925000000001042</c:v>
                </c:pt>
                <c:pt idx="770">
                  <c:v>33.925100000001045</c:v>
                </c:pt>
                <c:pt idx="771">
                  <c:v>33.925200000001048</c:v>
                </c:pt>
                <c:pt idx="772">
                  <c:v>33.925300000001052</c:v>
                </c:pt>
                <c:pt idx="773">
                  <c:v>33.925400000001055</c:v>
                </c:pt>
                <c:pt idx="774">
                  <c:v>33.925500000001058</c:v>
                </c:pt>
                <c:pt idx="775">
                  <c:v>33.925600000001062</c:v>
                </c:pt>
                <c:pt idx="776">
                  <c:v>33.925700000001065</c:v>
                </c:pt>
                <c:pt idx="777">
                  <c:v>33.925800000001068</c:v>
                </c:pt>
                <c:pt idx="778">
                  <c:v>33.925900000001072</c:v>
                </c:pt>
                <c:pt idx="779">
                  <c:v>33.926000000001075</c:v>
                </c:pt>
                <c:pt idx="780">
                  <c:v>33.926100000001078</c:v>
                </c:pt>
                <c:pt idx="781">
                  <c:v>33.926200000001081</c:v>
                </c:pt>
                <c:pt idx="782">
                  <c:v>33.926300000001085</c:v>
                </c:pt>
                <c:pt idx="783">
                  <c:v>33.926400000001088</c:v>
                </c:pt>
                <c:pt idx="784">
                  <c:v>33.926500000001091</c:v>
                </c:pt>
                <c:pt idx="785">
                  <c:v>33.926600000001095</c:v>
                </c:pt>
                <c:pt idx="786">
                  <c:v>33.926700000001098</c:v>
                </c:pt>
                <c:pt idx="787">
                  <c:v>33.926800000001101</c:v>
                </c:pt>
                <c:pt idx="788">
                  <c:v>33.926900000001105</c:v>
                </c:pt>
                <c:pt idx="789">
                  <c:v>33.927000000001108</c:v>
                </c:pt>
                <c:pt idx="790">
                  <c:v>33.927100000001111</c:v>
                </c:pt>
                <c:pt idx="791">
                  <c:v>33.927200000001115</c:v>
                </c:pt>
                <c:pt idx="792">
                  <c:v>33.927300000001118</c:v>
                </c:pt>
                <c:pt idx="793">
                  <c:v>33.927400000001121</c:v>
                </c:pt>
                <c:pt idx="794">
                  <c:v>33.927500000001125</c:v>
                </c:pt>
                <c:pt idx="795">
                  <c:v>33.927600000001128</c:v>
                </c:pt>
                <c:pt idx="796">
                  <c:v>33.927700000001131</c:v>
                </c:pt>
                <c:pt idx="797">
                  <c:v>33.927800000001135</c:v>
                </c:pt>
                <c:pt idx="798">
                  <c:v>33.927900000001138</c:v>
                </c:pt>
                <c:pt idx="799">
                  <c:v>33.928000000001141</c:v>
                </c:pt>
                <c:pt idx="800">
                  <c:v>33.928100000001145</c:v>
                </c:pt>
                <c:pt idx="801">
                  <c:v>33.928200000001148</c:v>
                </c:pt>
                <c:pt idx="802">
                  <c:v>33.928300000001151</c:v>
                </c:pt>
                <c:pt idx="803">
                  <c:v>33.928400000001155</c:v>
                </c:pt>
                <c:pt idx="804">
                  <c:v>33.928500000001158</c:v>
                </c:pt>
                <c:pt idx="805">
                  <c:v>33.928600000001161</c:v>
                </c:pt>
                <c:pt idx="806">
                  <c:v>33.928700000001164</c:v>
                </c:pt>
                <c:pt idx="807">
                  <c:v>33.928800000001168</c:v>
                </c:pt>
                <c:pt idx="808">
                  <c:v>33.928900000001171</c:v>
                </c:pt>
                <c:pt idx="809">
                  <c:v>33.929000000001174</c:v>
                </c:pt>
                <c:pt idx="810">
                  <c:v>33.929100000001178</c:v>
                </c:pt>
                <c:pt idx="811">
                  <c:v>33.929200000001181</c:v>
                </c:pt>
                <c:pt idx="812">
                  <c:v>33.929300000001184</c:v>
                </c:pt>
                <c:pt idx="813">
                  <c:v>33.929400000001188</c:v>
                </c:pt>
                <c:pt idx="814">
                  <c:v>33.929500000001191</c:v>
                </c:pt>
                <c:pt idx="815">
                  <c:v>33.929600000001194</c:v>
                </c:pt>
                <c:pt idx="816">
                  <c:v>33.929700000001198</c:v>
                </c:pt>
                <c:pt idx="817">
                  <c:v>33.929800000001201</c:v>
                </c:pt>
                <c:pt idx="818">
                  <c:v>33.929900000001204</c:v>
                </c:pt>
                <c:pt idx="819">
                  <c:v>33.930000000001208</c:v>
                </c:pt>
                <c:pt idx="820">
                  <c:v>33.930100000001211</c:v>
                </c:pt>
                <c:pt idx="821">
                  <c:v>33.930200000001214</c:v>
                </c:pt>
                <c:pt idx="822">
                  <c:v>33.930300000001218</c:v>
                </c:pt>
                <c:pt idx="823">
                  <c:v>33.930400000001221</c:v>
                </c:pt>
                <c:pt idx="824">
                  <c:v>33.930500000001224</c:v>
                </c:pt>
                <c:pt idx="825">
                  <c:v>33.930600000001228</c:v>
                </c:pt>
                <c:pt idx="826">
                  <c:v>33.930700000001231</c:v>
                </c:pt>
                <c:pt idx="827">
                  <c:v>33.930800000001234</c:v>
                </c:pt>
                <c:pt idx="828">
                  <c:v>33.930900000001238</c:v>
                </c:pt>
                <c:pt idx="829">
                  <c:v>33.931000000001241</c:v>
                </c:pt>
                <c:pt idx="830">
                  <c:v>33.931100000001244</c:v>
                </c:pt>
                <c:pt idx="831">
                  <c:v>33.931200000001247</c:v>
                </c:pt>
                <c:pt idx="832">
                  <c:v>33.931300000001251</c:v>
                </c:pt>
                <c:pt idx="833">
                  <c:v>33.931400000001254</c:v>
                </c:pt>
                <c:pt idx="834">
                  <c:v>33.931500000001257</c:v>
                </c:pt>
                <c:pt idx="835">
                  <c:v>33.931600000001261</c:v>
                </c:pt>
                <c:pt idx="836">
                  <c:v>33.931700000001264</c:v>
                </c:pt>
                <c:pt idx="837">
                  <c:v>33.931800000001267</c:v>
                </c:pt>
                <c:pt idx="838">
                  <c:v>33.931900000001271</c:v>
                </c:pt>
                <c:pt idx="839">
                  <c:v>33.932000000001274</c:v>
                </c:pt>
                <c:pt idx="840">
                  <c:v>33.932100000001277</c:v>
                </c:pt>
                <c:pt idx="841">
                  <c:v>33.932200000001281</c:v>
                </c:pt>
                <c:pt idx="842">
                  <c:v>33.932300000001284</c:v>
                </c:pt>
                <c:pt idx="843">
                  <c:v>33.932400000001287</c:v>
                </c:pt>
                <c:pt idx="844">
                  <c:v>33.932500000001291</c:v>
                </c:pt>
                <c:pt idx="845">
                  <c:v>33.932600000001294</c:v>
                </c:pt>
                <c:pt idx="846">
                  <c:v>33.932700000001297</c:v>
                </c:pt>
                <c:pt idx="847">
                  <c:v>33.932800000001301</c:v>
                </c:pt>
                <c:pt idx="848">
                  <c:v>33.932900000001304</c:v>
                </c:pt>
                <c:pt idx="849">
                  <c:v>33.933000000001307</c:v>
                </c:pt>
                <c:pt idx="850">
                  <c:v>33.933100000001311</c:v>
                </c:pt>
                <c:pt idx="851">
                  <c:v>33.933200000001314</c:v>
                </c:pt>
                <c:pt idx="852">
                  <c:v>33.933300000001317</c:v>
                </c:pt>
                <c:pt idx="853">
                  <c:v>33.933400000001321</c:v>
                </c:pt>
                <c:pt idx="854">
                  <c:v>33.933500000001324</c:v>
                </c:pt>
                <c:pt idx="855">
                  <c:v>33.933600000001327</c:v>
                </c:pt>
                <c:pt idx="856">
                  <c:v>33.93370000000133</c:v>
                </c:pt>
                <c:pt idx="857">
                  <c:v>33.933800000001334</c:v>
                </c:pt>
                <c:pt idx="858">
                  <c:v>33.933900000001337</c:v>
                </c:pt>
                <c:pt idx="859">
                  <c:v>33.93400000000134</c:v>
                </c:pt>
                <c:pt idx="860">
                  <c:v>33.934100000001344</c:v>
                </c:pt>
                <c:pt idx="861">
                  <c:v>33.934200000001347</c:v>
                </c:pt>
                <c:pt idx="862">
                  <c:v>33.93430000000135</c:v>
                </c:pt>
                <c:pt idx="863">
                  <c:v>33.934400000001354</c:v>
                </c:pt>
                <c:pt idx="864">
                  <c:v>33.934500000001357</c:v>
                </c:pt>
                <c:pt idx="865">
                  <c:v>33.93460000000136</c:v>
                </c:pt>
                <c:pt idx="866">
                  <c:v>33.934700000001364</c:v>
                </c:pt>
                <c:pt idx="867">
                  <c:v>33.934800000001367</c:v>
                </c:pt>
                <c:pt idx="868">
                  <c:v>33.93490000000137</c:v>
                </c:pt>
                <c:pt idx="869">
                  <c:v>33.935000000001374</c:v>
                </c:pt>
                <c:pt idx="870">
                  <c:v>33.935100000001377</c:v>
                </c:pt>
                <c:pt idx="871">
                  <c:v>33.93520000000138</c:v>
                </c:pt>
                <c:pt idx="872">
                  <c:v>33.935300000001384</c:v>
                </c:pt>
                <c:pt idx="873">
                  <c:v>33.935400000001387</c:v>
                </c:pt>
                <c:pt idx="874">
                  <c:v>33.93550000000139</c:v>
                </c:pt>
                <c:pt idx="875">
                  <c:v>33.935600000001394</c:v>
                </c:pt>
                <c:pt idx="876">
                  <c:v>33.935700000001397</c:v>
                </c:pt>
                <c:pt idx="877">
                  <c:v>33.9358000000014</c:v>
                </c:pt>
                <c:pt idx="878">
                  <c:v>33.935900000001403</c:v>
                </c:pt>
                <c:pt idx="879">
                  <c:v>33.936000000001407</c:v>
                </c:pt>
                <c:pt idx="880">
                  <c:v>33.93610000000141</c:v>
                </c:pt>
                <c:pt idx="881">
                  <c:v>33.936200000001413</c:v>
                </c:pt>
                <c:pt idx="882">
                  <c:v>33.936300000001417</c:v>
                </c:pt>
                <c:pt idx="883">
                  <c:v>33.93640000000142</c:v>
                </c:pt>
                <c:pt idx="884">
                  <c:v>33.936500000001423</c:v>
                </c:pt>
                <c:pt idx="885">
                  <c:v>33.936600000001427</c:v>
                </c:pt>
                <c:pt idx="886">
                  <c:v>33.93670000000143</c:v>
                </c:pt>
                <c:pt idx="887">
                  <c:v>33.936800000001433</c:v>
                </c:pt>
                <c:pt idx="888">
                  <c:v>33.936900000001437</c:v>
                </c:pt>
                <c:pt idx="889">
                  <c:v>33.93700000000144</c:v>
                </c:pt>
                <c:pt idx="890">
                  <c:v>33.937100000001443</c:v>
                </c:pt>
                <c:pt idx="891">
                  <c:v>33.937200000001447</c:v>
                </c:pt>
                <c:pt idx="892">
                  <c:v>33.93730000000145</c:v>
                </c:pt>
                <c:pt idx="893">
                  <c:v>33.937400000001453</c:v>
                </c:pt>
                <c:pt idx="894">
                  <c:v>33.937500000001457</c:v>
                </c:pt>
                <c:pt idx="895">
                  <c:v>33.93760000000146</c:v>
                </c:pt>
                <c:pt idx="896">
                  <c:v>33.937700000001463</c:v>
                </c:pt>
                <c:pt idx="897">
                  <c:v>33.937800000001467</c:v>
                </c:pt>
                <c:pt idx="898">
                  <c:v>33.93790000000147</c:v>
                </c:pt>
                <c:pt idx="899">
                  <c:v>33.938000000001473</c:v>
                </c:pt>
                <c:pt idx="900">
                  <c:v>33.938100000001477</c:v>
                </c:pt>
                <c:pt idx="901">
                  <c:v>33.93820000000148</c:v>
                </c:pt>
                <c:pt idx="902">
                  <c:v>33.938300000001483</c:v>
                </c:pt>
                <c:pt idx="903">
                  <c:v>33.938400000001486</c:v>
                </c:pt>
                <c:pt idx="904">
                  <c:v>33.93850000000149</c:v>
                </c:pt>
                <c:pt idx="905">
                  <c:v>33.938600000001493</c:v>
                </c:pt>
                <c:pt idx="906">
                  <c:v>33.938700000001496</c:v>
                </c:pt>
                <c:pt idx="907">
                  <c:v>33.9388000000015</c:v>
                </c:pt>
                <c:pt idx="908">
                  <c:v>33.938900000001503</c:v>
                </c:pt>
                <c:pt idx="909">
                  <c:v>33.939000000001506</c:v>
                </c:pt>
                <c:pt idx="910">
                  <c:v>33.93910000000151</c:v>
                </c:pt>
                <c:pt idx="911">
                  <c:v>33.939200000001513</c:v>
                </c:pt>
                <c:pt idx="912">
                  <c:v>33.939300000001516</c:v>
                </c:pt>
                <c:pt idx="913">
                  <c:v>33.93940000000152</c:v>
                </c:pt>
                <c:pt idx="914">
                  <c:v>33.939500000001523</c:v>
                </c:pt>
                <c:pt idx="915">
                  <c:v>33.939600000001526</c:v>
                </c:pt>
                <c:pt idx="916">
                  <c:v>33.93970000000153</c:v>
                </c:pt>
                <c:pt idx="917">
                  <c:v>33.939800000001533</c:v>
                </c:pt>
                <c:pt idx="918">
                  <c:v>33.939900000001536</c:v>
                </c:pt>
                <c:pt idx="919">
                  <c:v>33.94000000000154</c:v>
                </c:pt>
                <c:pt idx="920">
                  <c:v>33.940100000001543</c:v>
                </c:pt>
                <c:pt idx="921">
                  <c:v>33.940200000001546</c:v>
                </c:pt>
                <c:pt idx="922">
                  <c:v>33.94030000000155</c:v>
                </c:pt>
                <c:pt idx="923">
                  <c:v>33.940400000001553</c:v>
                </c:pt>
                <c:pt idx="924">
                  <c:v>33.940500000001556</c:v>
                </c:pt>
                <c:pt idx="925">
                  <c:v>33.94060000000156</c:v>
                </c:pt>
                <c:pt idx="926">
                  <c:v>33.940700000001563</c:v>
                </c:pt>
                <c:pt idx="927">
                  <c:v>33.940800000001566</c:v>
                </c:pt>
                <c:pt idx="928">
                  <c:v>33.940900000001569</c:v>
                </c:pt>
                <c:pt idx="929">
                  <c:v>33.941000000001573</c:v>
                </c:pt>
                <c:pt idx="930">
                  <c:v>33.941100000001576</c:v>
                </c:pt>
                <c:pt idx="931">
                  <c:v>33.941200000001579</c:v>
                </c:pt>
                <c:pt idx="932">
                  <c:v>33.941300000001583</c:v>
                </c:pt>
                <c:pt idx="933">
                  <c:v>33.941400000001586</c:v>
                </c:pt>
                <c:pt idx="934">
                  <c:v>33.941500000001589</c:v>
                </c:pt>
                <c:pt idx="935">
                  <c:v>33.941600000001593</c:v>
                </c:pt>
                <c:pt idx="936">
                  <c:v>33.941700000001596</c:v>
                </c:pt>
                <c:pt idx="937">
                  <c:v>33.941800000001599</c:v>
                </c:pt>
                <c:pt idx="938">
                  <c:v>33.941900000001603</c:v>
                </c:pt>
                <c:pt idx="939">
                  <c:v>33.942000000001606</c:v>
                </c:pt>
                <c:pt idx="940">
                  <c:v>33.942100000001609</c:v>
                </c:pt>
                <c:pt idx="941">
                  <c:v>33.942200000001613</c:v>
                </c:pt>
                <c:pt idx="942">
                  <c:v>33.942300000001616</c:v>
                </c:pt>
                <c:pt idx="943">
                  <c:v>33.942400000001619</c:v>
                </c:pt>
                <c:pt idx="944">
                  <c:v>33.942500000001623</c:v>
                </c:pt>
                <c:pt idx="945">
                  <c:v>33.942600000001626</c:v>
                </c:pt>
                <c:pt idx="946">
                  <c:v>33.942700000001629</c:v>
                </c:pt>
                <c:pt idx="947">
                  <c:v>33.942800000001633</c:v>
                </c:pt>
                <c:pt idx="948">
                  <c:v>33.942900000001636</c:v>
                </c:pt>
                <c:pt idx="949">
                  <c:v>33.943000000001639</c:v>
                </c:pt>
                <c:pt idx="950">
                  <c:v>33.943100000001643</c:v>
                </c:pt>
                <c:pt idx="951">
                  <c:v>33.943200000001646</c:v>
                </c:pt>
                <c:pt idx="952">
                  <c:v>33.943300000001649</c:v>
                </c:pt>
                <c:pt idx="953">
                  <c:v>33.943400000001652</c:v>
                </c:pt>
                <c:pt idx="954">
                  <c:v>33.943500000001656</c:v>
                </c:pt>
                <c:pt idx="955">
                  <c:v>33.943600000001659</c:v>
                </c:pt>
                <c:pt idx="956">
                  <c:v>33.943700000001662</c:v>
                </c:pt>
                <c:pt idx="957">
                  <c:v>33.943800000001666</c:v>
                </c:pt>
                <c:pt idx="958">
                  <c:v>33.943900000001669</c:v>
                </c:pt>
                <c:pt idx="959">
                  <c:v>33.944000000001672</c:v>
                </c:pt>
                <c:pt idx="960">
                  <c:v>33.944100000001676</c:v>
                </c:pt>
                <c:pt idx="961">
                  <c:v>33.944200000001679</c:v>
                </c:pt>
                <c:pt idx="962">
                  <c:v>33.944300000001682</c:v>
                </c:pt>
                <c:pt idx="963">
                  <c:v>33.944400000001686</c:v>
                </c:pt>
                <c:pt idx="964">
                  <c:v>33.944500000001689</c:v>
                </c:pt>
                <c:pt idx="965">
                  <c:v>33.944600000001692</c:v>
                </c:pt>
                <c:pt idx="966">
                  <c:v>33.944700000001696</c:v>
                </c:pt>
                <c:pt idx="967">
                  <c:v>33.944800000001699</c:v>
                </c:pt>
                <c:pt idx="968">
                  <c:v>33.944900000001702</c:v>
                </c:pt>
                <c:pt idx="969">
                  <c:v>33.945000000001706</c:v>
                </c:pt>
                <c:pt idx="970">
                  <c:v>33.945100000001709</c:v>
                </c:pt>
                <c:pt idx="971">
                  <c:v>33.945200000001712</c:v>
                </c:pt>
                <c:pt idx="972">
                  <c:v>33.945300000001716</c:v>
                </c:pt>
                <c:pt idx="973">
                  <c:v>33.945400000001719</c:v>
                </c:pt>
                <c:pt idx="974">
                  <c:v>33.945500000001722</c:v>
                </c:pt>
                <c:pt idx="975">
                  <c:v>33.945600000001726</c:v>
                </c:pt>
                <c:pt idx="976">
                  <c:v>33.945700000001729</c:v>
                </c:pt>
                <c:pt idx="977">
                  <c:v>33.945800000001732</c:v>
                </c:pt>
                <c:pt idx="978">
                  <c:v>33.945900000001735</c:v>
                </c:pt>
                <c:pt idx="979">
                  <c:v>33.946000000001739</c:v>
                </c:pt>
                <c:pt idx="980">
                  <c:v>33.946100000001742</c:v>
                </c:pt>
                <c:pt idx="981">
                  <c:v>33.946200000001745</c:v>
                </c:pt>
                <c:pt idx="982">
                  <c:v>33.946300000001749</c:v>
                </c:pt>
                <c:pt idx="983">
                  <c:v>33.946400000001752</c:v>
                </c:pt>
                <c:pt idx="984">
                  <c:v>33.946500000001755</c:v>
                </c:pt>
                <c:pt idx="985">
                  <c:v>33.946600000001759</c:v>
                </c:pt>
                <c:pt idx="986">
                  <c:v>33.946700000001762</c:v>
                </c:pt>
                <c:pt idx="987">
                  <c:v>33.946800000001765</c:v>
                </c:pt>
                <c:pt idx="988">
                  <c:v>33.946900000001769</c:v>
                </c:pt>
                <c:pt idx="989">
                  <c:v>33.947000000001772</c:v>
                </c:pt>
                <c:pt idx="990">
                  <c:v>33.947100000001775</c:v>
                </c:pt>
                <c:pt idx="991">
                  <c:v>33.947200000001779</c:v>
                </c:pt>
                <c:pt idx="992">
                  <c:v>33.947300000001782</c:v>
                </c:pt>
                <c:pt idx="993">
                  <c:v>33.947400000001785</c:v>
                </c:pt>
                <c:pt idx="994">
                  <c:v>33.947500000001789</c:v>
                </c:pt>
                <c:pt idx="995">
                  <c:v>33.947600000001792</c:v>
                </c:pt>
                <c:pt idx="996">
                  <c:v>33.947700000001795</c:v>
                </c:pt>
                <c:pt idx="997">
                  <c:v>33.947800000001799</c:v>
                </c:pt>
                <c:pt idx="998">
                  <c:v>33.947900000001802</c:v>
                </c:pt>
                <c:pt idx="999">
                  <c:v>33.948000000001805</c:v>
                </c:pt>
                <c:pt idx="1000">
                  <c:v>33.948100000001808</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33.900100000000215</c:v>
                </c:pt>
                <c:pt idx="521">
                  <c:v>33.900200000000218</c:v>
                </c:pt>
                <c:pt idx="522">
                  <c:v>33.900300000000222</c:v>
                </c:pt>
                <c:pt idx="523">
                  <c:v>33.900400000000225</c:v>
                </c:pt>
                <c:pt idx="524">
                  <c:v>33.900500000000228</c:v>
                </c:pt>
                <c:pt idx="525">
                  <c:v>33.900600000000232</c:v>
                </c:pt>
                <c:pt idx="526">
                  <c:v>33.900700000000235</c:v>
                </c:pt>
                <c:pt idx="527">
                  <c:v>33.900800000000238</c:v>
                </c:pt>
                <c:pt idx="528">
                  <c:v>33.900900000000242</c:v>
                </c:pt>
                <c:pt idx="529">
                  <c:v>33.901000000000245</c:v>
                </c:pt>
                <c:pt idx="530">
                  <c:v>33.901100000000248</c:v>
                </c:pt>
                <c:pt idx="531">
                  <c:v>33.901200000000252</c:v>
                </c:pt>
                <c:pt idx="532">
                  <c:v>33.901300000000255</c:v>
                </c:pt>
                <c:pt idx="533">
                  <c:v>33.901400000000258</c:v>
                </c:pt>
                <c:pt idx="534">
                  <c:v>33.901500000000262</c:v>
                </c:pt>
                <c:pt idx="535">
                  <c:v>33.901600000000265</c:v>
                </c:pt>
                <c:pt idx="536">
                  <c:v>33.901700000000268</c:v>
                </c:pt>
                <c:pt idx="537">
                  <c:v>33.901800000000271</c:v>
                </c:pt>
                <c:pt idx="538">
                  <c:v>33.901900000000275</c:v>
                </c:pt>
                <c:pt idx="539">
                  <c:v>33.902000000000278</c:v>
                </c:pt>
                <c:pt idx="540">
                  <c:v>33.902100000000281</c:v>
                </c:pt>
                <c:pt idx="541">
                  <c:v>33.902200000000285</c:v>
                </c:pt>
                <c:pt idx="542">
                  <c:v>33.902300000000288</c:v>
                </c:pt>
                <c:pt idx="543">
                  <c:v>33.902400000000291</c:v>
                </c:pt>
                <c:pt idx="544">
                  <c:v>33.902500000000295</c:v>
                </c:pt>
                <c:pt idx="545">
                  <c:v>33.902600000000298</c:v>
                </c:pt>
                <c:pt idx="546">
                  <c:v>33.902700000000301</c:v>
                </c:pt>
                <c:pt idx="547">
                  <c:v>33.902800000000305</c:v>
                </c:pt>
                <c:pt idx="548">
                  <c:v>33.902900000000308</c:v>
                </c:pt>
                <c:pt idx="549">
                  <c:v>33.903000000000311</c:v>
                </c:pt>
                <c:pt idx="550">
                  <c:v>33.903100000000315</c:v>
                </c:pt>
                <c:pt idx="551">
                  <c:v>33.903200000000318</c:v>
                </c:pt>
                <c:pt idx="552">
                  <c:v>33.903300000000321</c:v>
                </c:pt>
                <c:pt idx="553">
                  <c:v>33.903400000000325</c:v>
                </c:pt>
                <c:pt idx="554">
                  <c:v>33.903500000000328</c:v>
                </c:pt>
                <c:pt idx="555">
                  <c:v>33.903600000000331</c:v>
                </c:pt>
                <c:pt idx="556">
                  <c:v>33.903700000000335</c:v>
                </c:pt>
                <c:pt idx="557">
                  <c:v>33.903800000000338</c:v>
                </c:pt>
                <c:pt idx="558">
                  <c:v>33.903900000000341</c:v>
                </c:pt>
                <c:pt idx="559">
                  <c:v>33.904000000000345</c:v>
                </c:pt>
                <c:pt idx="560">
                  <c:v>33.904100000000348</c:v>
                </c:pt>
                <c:pt idx="561">
                  <c:v>33.904200000000351</c:v>
                </c:pt>
                <c:pt idx="562">
                  <c:v>33.904300000000354</c:v>
                </c:pt>
                <c:pt idx="563">
                  <c:v>33.904400000000358</c:v>
                </c:pt>
                <c:pt idx="564">
                  <c:v>33.904500000000361</c:v>
                </c:pt>
                <c:pt idx="565">
                  <c:v>33.904600000000364</c:v>
                </c:pt>
                <c:pt idx="566">
                  <c:v>33.904700000000368</c:v>
                </c:pt>
                <c:pt idx="567">
                  <c:v>33.904800000000371</c:v>
                </c:pt>
                <c:pt idx="568">
                  <c:v>33.904900000000374</c:v>
                </c:pt>
                <c:pt idx="569">
                  <c:v>33.905000000000378</c:v>
                </c:pt>
                <c:pt idx="570">
                  <c:v>33.905100000000381</c:v>
                </c:pt>
                <c:pt idx="571">
                  <c:v>33.905200000000384</c:v>
                </c:pt>
                <c:pt idx="572">
                  <c:v>33.905300000000388</c:v>
                </c:pt>
                <c:pt idx="573">
                  <c:v>33.905400000000391</c:v>
                </c:pt>
                <c:pt idx="574">
                  <c:v>33.905500000000394</c:v>
                </c:pt>
                <c:pt idx="575">
                  <c:v>33.905600000000398</c:v>
                </c:pt>
                <c:pt idx="576">
                  <c:v>33.905700000000401</c:v>
                </c:pt>
                <c:pt idx="577">
                  <c:v>33.905800000000404</c:v>
                </c:pt>
                <c:pt idx="578">
                  <c:v>33.905900000000408</c:v>
                </c:pt>
                <c:pt idx="579">
                  <c:v>33.906000000000411</c:v>
                </c:pt>
                <c:pt idx="580">
                  <c:v>33.906100000000414</c:v>
                </c:pt>
                <c:pt idx="581">
                  <c:v>33.906200000000418</c:v>
                </c:pt>
                <c:pt idx="582">
                  <c:v>33.906300000000421</c:v>
                </c:pt>
                <c:pt idx="583">
                  <c:v>33.906400000000424</c:v>
                </c:pt>
                <c:pt idx="584">
                  <c:v>33.906500000000428</c:v>
                </c:pt>
                <c:pt idx="585">
                  <c:v>33.906600000000431</c:v>
                </c:pt>
                <c:pt idx="586">
                  <c:v>33.906700000000434</c:v>
                </c:pt>
                <c:pt idx="587">
                  <c:v>33.906800000000437</c:v>
                </c:pt>
                <c:pt idx="588">
                  <c:v>33.906900000000441</c:v>
                </c:pt>
                <c:pt idx="589">
                  <c:v>33.907000000000444</c:v>
                </c:pt>
                <c:pt idx="590">
                  <c:v>33.907100000000447</c:v>
                </c:pt>
                <c:pt idx="591">
                  <c:v>33.907200000000451</c:v>
                </c:pt>
                <c:pt idx="592">
                  <c:v>33.907300000000454</c:v>
                </c:pt>
                <c:pt idx="593">
                  <c:v>33.907400000000457</c:v>
                </c:pt>
                <c:pt idx="594">
                  <c:v>33.907500000000461</c:v>
                </c:pt>
                <c:pt idx="595">
                  <c:v>33.907600000000464</c:v>
                </c:pt>
                <c:pt idx="596">
                  <c:v>33.907700000000467</c:v>
                </c:pt>
                <c:pt idx="597">
                  <c:v>33.907800000000471</c:v>
                </c:pt>
                <c:pt idx="598">
                  <c:v>33.907900000000474</c:v>
                </c:pt>
                <c:pt idx="599">
                  <c:v>33.908000000000477</c:v>
                </c:pt>
                <c:pt idx="600">
                  <c:v>33.908100000000481</c:v>
                </c:pt>
                <c:pt idx="601">
                  <c:v>33.908200000000484</c:v>
                </c:pt>
                <c:pt idx="602">
                  <c:v>33.908300000000487</c:v>
                </c:pt>
                <c:pt idx="603">
                  <c:v>33.908400000000491</c:v>
                </c:pt>
                <c:pt idx="604">
                  <c:v>33.908500000000494</c:v>
                </c:pt>
                <c:pt idx="605">
                  <c:v>33.908600000000497</c:v>
                </c:pt>
                <c:pt idx="606">
                  <c:v>33.908700000000501</c:v>
                </c:pt>
                <c:pt idx="607">
                  <c:v>33.908800000000504</c:v>
                </c:pt>
                <c:pt idx="608">
                  <c:v>33.908900000000507</c:v>
                </c:pt>
                <c:pt idx="609">
                  <c:v>33.909000000000511</c:v>
                </c:pt>
                <c:pt idx="610">
                  <c:v>33.909100000000514</c:v>
                </c:pt>
                <c:pt idx="611">
                  <c:v>33.909200000000517</c:v>
                </c:pt>
                <c:pt idx="612">
                  <c:v>33.90930000000052</c:v>
                </c:pt>
                <c:pt idx="613">
                  <c:v>33.909400000000524</c:v>
                </c:pt>
                <c:pt idx="614">
                  <c:v>33.909500000000527</c:v>
                </c:pt>
                <c:pt idx="615">
                  <c:v>33.90960000000053</c:v>
                </c:pt>
                <c:pt idx="616">
                  <c:v>33.909700000000534</c:v>
                </c:pt>
                <c:pt idx="617">
                  <c:v>33.909800000000537</c:v>
                </c:pt>
                <c:pt idx="618">
                  <c:v>33.90990000000054</c:v>
                </c:pt>
                <c:pt idx="619">
                  <c:v>33.910000000000544</c:v>
                </c:pt>
                <c:pt idx="620">
                  <c:v>33.910100000000547</c:v>
                </c:pt>
                <c:pt idx="621">
                  <c:v>33.91020000000055</c:v>
                </c:pt>
                <c:pt idx="622">
                  <c:v>33.910300000000554</c:v>
                </c:pt>
                <c:pt idx="623">
                  <c:v>33.910400000000557</c:v>
                </c:pt>
                <c:pt idx="624">
                  <c:v>33.91050000000056</c:v>
                </c:pt>
                <c:pt idx="625">
                  <c:v>33.910600000000564</c:v>
                </c:pt>
                <c:pt idx="626">
                  <c:v>33.910700000000567</c:v>
                </c:pt>
                <c:pt idx="627">
                  <c:v>33.91080000000057</c:v>
                </c:pt>
                <c:pt idx="628">
                  <c:v>33.910900000000574</c:v>
                </c:pt>
                <c:pt idx="629">
                  <c:v>33.911000000000577</c:v>
                </c:pt>
                <c:pt idx="630">
                  <c:v>33.91110000000058</c:v>
                </c:pt>
                <c:pt idx="631">
                  <c:v>33.911200000000584</c:v>
                </c:pt>
                <c:pt idx="632">
                  <c:v>33.911300000000587</c:v>
                </c:pt>
                <c:pt idx="633">
                  <c:v>33.91140000000059</c:v>
                </c:pt>
                <c:pt idx="634">
                  <c:v>33.911500000000594</c:v>
                </c:pt>
                <c:pt idx="635">
                  <c:v>33.911600000000597</c:v>
                </c:pt>
                <c:pt idx="636">
                  <c:v>33.9117000000006</c:v>
                </c:pt>
                <c:pt idx="637">
                  <c:v>33.911800000000603</c:v>
                </c:pt>
                <c:pt idx="638">
                  <c:v>33.911900000000607</c:v>
                </c:pt>
                <c:pt idx="639">
                  <c:v>33.91200000000061</c:v>
                </c:pt>
                <c:pt idx="640">
                  <c:v>33.912100000000613</c:v>
                </c:pt>
                <c:pt idx="641">
                  <c:v>33.912200000000617</c:v>
                </c:pt>
                <c:pt idx="642">
                  <c:v>33.91230000000062</c:v>
                </c:pt>
                <c:pt idx="643">
                  <c:v>33.912400000000623</c:v>
                </c:pt>
                <c:pt idx="644">
                  <c:v>33.912500000000627</c:v>
                </c:pt>
                <c:pt idx="645">
                  <c:v>33.91260000000063</c:v>
                </c:pt>
                <c:pt idx="646">
                  <c:v>33.912700000000633</c:v>
                </c:pt>
                <c:pt idx="647">
                  <c:v>33.912800000000637</c:v>
                </c:pt>
                <c:pt idx="648">
                  <c:v>33.91290000000064</c:v>
                </c:pt>
                <c:pt idx="649">
                  <c:v>33.913000000000643</c:v>
                </c:pt>
                <c:pt idx="650">
                  <c:v>33.913100000000647</c:v>
                </c:pt>
                <c:pt idx="651">
                  <c:v>33.91320000000065</c:v>
                </c:pt>
                <c:pt idx="652">
                  <c:v>33.913300000000653</c:v>
                </c:pt>
                <c:pt idx="653">
                  <c:v>33.913400000000657</c:v>
                </c:pt>
                <c:pt idx="654">
                  <c:v>33.91350000000066</c:v>
                </c:pt>
                <c:pt idx="655">
                  <c:v>33.913600000000663</c:v>
                </c:pt>
                <c:pt idx="656">
                  <c:v>33.913700000000667</c:v>
                </c:pt>
                <c:pt idx="657">
                  <c:v>33.91380000000067</c:v>
                </c:pt>
                <c:pt idx="658">
                  <c:v>33.913900000000673</c:v>
                </c:pt>
                <c:pt idx="659">
                  <c:v>33.914000000000676</c:v>
                </c:pt>
                <c:pt idx="660">
                  <c:v>33.91410000000068</c:v>
                </c:pt>
                <c:pt idx="661">
                  <c:v>33.914200000000683</c:v>
                </c:pt>
                <c:pt idx="662">
                  <c:v>33.914300000000686</c:v>
                </c:pt>
                <c:pt idx="663">
                  <c:v>33.91440000000069</c:v>
                </c:pt>
                <c:pt idx="664">
                  <c:v>33.914500000000693</c:v>
                </c:pt>
                <c:pt idx="665">
                  <c:v>33.914600000000696</c:v>
                </c:pt>
                <c:pt idx="666">
                  <c:v>33.9147000000007</c:v>
                </c:pt>
                <c:pt idx="667">
                  <c:v>33.914800000000703</c:v>
                </c:pt>
                <c:pt idx="668">
                  <c:v>33.914900000000706</c:v>
                </c:pt>
                <c:pt idx="669">
                  <c:v>33.91500000000071</c:v>
                </c:pt>
                <c:pt idx="670">
                  <c:v>33.915100000000713</c:v>
                </c:pt>
                <c:pt idx="671">
                  <c:v>33.915200000000716</c:v>
                </c:pt>
                <c:pt idx="672">
                  <c:v>33.91530000000072</c:v>
                </c:pt>
                <c:pt idx="673">
                  <c:v>33.915400000000723</c:v>
                </c:pt>
                <c:pt idx="674">
                  <c:v>33.915500000000726</c:v>
                </c:pt>
                <c:pt idx="675">
                  <c:v>33.91560000000073</c:v>
                </c:pt>
                <c:pt idx="676">
                  <c:v>33.915700000000733</c:v>
                </c:pt>
                <c:pt idx="677">
                  <c:v>33.915800000000736</c:v>
                </c:pt>
                <c:pt idx="678">
                  <c:v>33.91590000000074</c:v>
                </c:pt>
                <c:pt idx="679">
                  <c:v>33.916000000000743</c:v>
                </c:pt>
                <c:pt idx="680">
                  <c:v>33.916100000000746</c:v>
                </c:pt>
                <c:pt idx="681">
                  <c:v>33.91620000000075</c:v>
                </c:pt>
                <c:pt idx="682">
                  <c:v>33.916300000000753</c:v>
                </c:pt>
                <c:pt idx="683">
                  <c:v>33.916400000000756</c:v>
                </c:pt>
                <c:pt idx="684">
                  <c:v>33.916500000000759</c:v>
                </c:pt>
                <c:pt idx="685">
                  <c:v>33.916600000000763</c:v>
                </c:pt>
                <c:pt idx="686">
                  <c:v>33.916700000000766</c:v>
                </c:pt>
                <c:pt idx="687">
                  <c:v>33.916800000000769</c:v>
                </c:pt>
                <c:pt idx="688">
                  <c:v>33.916900000000773</c:v>
                </c:pt>
                <c:pt idx="689">
                  <c:v>33.917000000000776</c:v>
                </c:pt>
                <c:pt idx="690">
                  <c:v>33.917100000000779</c:v>
                </c:pt>
                <c:pt idx="691">
                  <c:v>33.917200000000783</c:v>
                </c:pt>
                <c:pt idx="692">
                  <c:v>33.917300000000786</c:v>
                </c:pt>
                <c:pt idx="693">
                  <c:v>33.917400000000789</c:v>
                </c:pt>
                <c:pt idx="694">
                  <c:v>33.917500000000793</c:v>
                </c:pt>
                <c:pt idx="695">
                  <c:v>33.917600000000796</c:v>
                </c:pt>
                <c:pt idx="696">
                  <c:v>33.917700000000799</c:v>
                </c:pt>
                <c:pt idx="697">
                  <c:v>33.917800000000803</c:v>
                </c:pt>
                <c:pt idx="698">
                  <c:v>33.917900000000806</c:v>
                </c:pt>
                <c:pt idx="699">
                  <c:v>33.918000000000809</c:v>
                </c:pt>
                <c:pt idx="700">
                  <c:v>33.918100000000813</c:v>
                </c:pt>
                <c:pt idx="701">
                  <c:v>33.918200000000816</c:v>
                </c:pt>
                <c:pt idx="702">
                  <c:v>33.918300000000819</c:v>
                </c:pt>
                <c:pt idx="703">
                  <c:v>33.918400000000823</c:v>
                </c:pt>
                <c:pt idx="704">
                  <c:v>33.918500000000826</c:v>
                </c:pt>
                <c:pt idx="705">
                  <c:v>33.918600000000829</c:v>
                </c:pt>
                <c:pt idx="706">
                  <c:v>33.918700000000833</c:v>
                </c:pt>
                <c:pt idx="707">
                  <c:v>33.918800000000836</c:v>
                </c:pt>
                <c:pt idx="708">
                  <c:v>33.918900000000839</c:v>
                </c:pt>
                <c:pt idx="709">
                  <c:v>33.919000000000842</c:v>
                </c:pt>
                <c:pt idx="710">
                  <c:v>33.919100000000846</c:v>
                </c:pt>
                <c:pt idx="711">
                  <c:v>33.919200000000849</c:v>
                </c:pt>
                <c:pt idx="712">
                  <c:v>33.919300000000852</c:v>
                </c:pt>
                <c:pt idx="713">
                  <c:v>33.919400000000856</c:v>
                </c:pt>
                <c:pt idx="714">
                  <c:v>33.919500000000859</c:v>
                </c:pt>
                <c:pt idx="715">
                  <c:v>33.919600000000862</c:v>
                </c:pt>
                <c:pt idx="716">
                  <c:v>33.919700000000866</c:v>
                </c:pt>
                <c:pt idx="717">
                  <c:v>33.919800000000869</c:v>
                </c:pt>
                <c:pt idx="718">
                  <c:v>33.919900000000872</c:v>
                </c:pt>
                <c:pt idx="719">
                  <c:v>33.920000000000876</c:v>
                </c:pt>
                <c:pt idx="720">
                  <c:v>33.920100000000879</c:v>
                </c:pt>
                <c:pt idx="721">
                  <c:v>33.920200000000882</c:v>
                </c:pt>
                <c:pt idx="722">
                  <c:v>33.920300000000886</c:v>
                </c:pt>
                <c:pt idx="723">
                  <c:v>33.920400000000889</c:v>
                </c:pt>
                <c:pt idx="724">
                  <c:v>33.920500000000892</c:v>
                </c:pt>
                <c:pt idx="725">
                  <c:v>33.920600000000896</c:v>
                </c:pt>
                <c:pt idx="726">
                  <c:v>33.920700000000899</c:v>
                </c:pt>
                <c:pt idx="727">
                  <c:v>33.920800000000902</c:v>
                </c:pt>
                <c:pt idx="728">
                  <c:v>33.920900000000906</c:v>
                </c:pt>
                <c:pt idx="729">
                  <c:v>33.921000000000909</c:v>
                </c:pt>
                <c:pt idx="730">
                  <c:v>33.921100000000912</c:v>
                </c:pt>
                <c:pt idx="731">
                  <c:v>33.921200000000916</c:v>
                </c:pt>
                <c:pt idx="732">
                  <c:v>33.921300000000919</c:v>
                </c:pt>
                <c:pt idx="733">
                  <c:v>33.921400000000922</c:v>
                </c:pt>
                <c:pt idx="734">
                  <c:v>33.921500000000925</c:v>
                </c:pt>
                <c:pt idx="735">
                  <c:v>33.921600000000929</c:v>
                </c:pt>
                <c:pt idx="736">
                  <c:v>33.921700000000932</c:v>
                </c:pt>
                <c:pt idx="737">
                  <c:v>33.921800000000935</c:v>
                </c:pt>
                <c:pt idx="738">
                  <c:v>33.921900000000939</c:v>
                </c:pt>
                <c:pt idx="739">
                  <c:v>33.922000000000942</c:v>
                </c:pt>
                <c:pt idx="740">
                  <c:v>33.922100000000945</c:v>
                </c:pt>
                <c:pt idx="741">
                  <c:v>33.922200000000949</c:v>
                </c:pt>
                <c:pt idx="742">
                  <c:v>33.922300000000952</c:v>
                </c:pt>
                <c:pt idx="743">
                  <c:v>33.922400000000955</c:v>
                </c:pt>
                <c:pt idx="744">
                  <c:v>33.922500000000959</c:v>
                </c:pt>
                <c:pt idx="745">
                  <c:v>33.922600000000962</c:v>
                </c:pt>
                <c:pt idx="746">
                  <c:v>33.922700000000965</c:v>
                </c:pt>
                <c:pt idx="747">
                  <c:v>33.922800000000969</c:v>
                </c:pt>
                <c:pt idx="748">
                  <c:v>33.922900000000972</c:v>
                </c:pt>
                <c:pt idx="749">
                  <c:v>33.923000000000975</c:v>
                </c:pt>
                <c:pt idx="750">
                  <c:v>33.923100000000979</c:v>
                </c:pt>
                <c:pt idx="751">
                  <c:v>33.923200000000982</c:v>
                </c:pt>
                <c:pt idx="752">
                  <c:v>33.923300000000985</c:v>
                </c:pt>
                <c:pt idx="753">
                  <c:v>33.923400000000989</c:v>
                </c:pt>
                <c:pt idx="754">
                  <c:v>33.923500000000992</c:v>
                </c:pt>
                <c:pt idx="755">
                  <c:v>33.923600000000995</c:v>
                </c:pt>
                <c:pt idx="756">
                  <c:v>33.923700000000999</c:v>
                </c:pt>
                <c:pt idx="757">
                  <c:v>33.923800000001002</c:v>
                </c:pt>
                <c:pt idx="758">
                  <c:v>33.923900000001005</c:v>
                </c:pt>
                <c:pt idx="759">
                  <c:v>33.924000000001008</c:v>
                </c:pt>
                <c:pt idx="760">
                  <c:v>33.924100000001012</c:v>
                </c:pt>
                <c:pt idx="761">
                  <c:v>33.924200000001015</c:v>
                </c:pt>
                <c:pt idx="762">
                  <c:v>33.924300000001018</c:v>
                </c:pt>
                <c:pt idx="763">
                  <c:v>33.924400000001022</c:v>
                </c:pt>
                <c:pt idx="764">
                  <c:v>33.924500000001025</c:v>
                </c:pt>
                <c:pt idx="765">
                  <c:v>33.924600000001028</c:v>
                </c:pt>
                <c:pt idx="766">
                  <c:v>33.924700000001032</c:v>
                </c:pt>
                <c:pt idx="767">
                  <c:v>33.924800000001035</c:v>
                </c:pt>
                <c:pt idx="768">
                  <c:v>33.924900000001038</c:v>
                </c:pt>
                <c:pt idx="769">
                  <c:v>33.925000000001042</c:v>
                </c:pt>
                <c:pt idx="770">
                  <c:v>33.925100000001045</c:v>
                </c:pt>
                <c:pt idx="771">
                  <c:v>33.925200000001048</c:v>
                </c:pt>
                <c:pt idx="772">
                  <c:v>33.925300000001052</c:v>
                </c:pt>
                <c:pt idx="773">
                  <c:v>33.925400000001055</c:v>
                </c:pt>
                <c:pt idx="774">
                  <c:v>33.925500000001058</c:v>
                </c:pt>
                <c:pt idx="775">
                  <c:v>33.925600000001062</c:v>
                </c:pt>
                <c:pt idx="776">
                  <c:v>33.925700000001065</c:v>
                </c:pt>
                <c:pt idx="777">
                  <c:v>33.925800000001068</c:v>
                </c:pt>
                <c:pt idx="778">
                  <c:v>33.925900000001072</c:v>
                </c:pt>
                <c:pt idx="779">
                  <c:v>33.926000000001075</c:v>
                </c:pt>
                <c:pt idx="780">
                  <c:v>33.926100000001078</c:v>
                </c:pt>
                <c:pt idx="781">
                  <c:v>33.926200000001081</c:v>
                </c:pt>
                <c:pt idx="782">
                  <c:v>33.926300000001085</c:v>
                </c:pt>
                <c:pt idx="783">
                  <c:v>33.926400000001088</c:v>
                </c:pt>
                <c:pt idx="784">
                  <c:v>33.926500000001091</c:v>
                </c:pt>
                <c:pt idx="785">
                  <c:v>33.926600000001095</c:v>
                </c:pt>
                <c:pt idx="786">
                  <c:v>33.926700000001098</c:v>
                </c:pt>
                <c:pt idx="787">
                  <c:v>33.926800000001101</c:v>
                </c:pt>
                <c:pt idx="788">
                  <c:v>33.926900000001105</c:v>
                </c:pt>
                <c:pt idx="789">
                  <c:v>33.927000000001108</c:v>
                </c:pt>
                <c:pt idx="790">
                  <c:v>33.927100000001111</c:v>
                </c:pt>
                <c:pt idx="791">
                  <c:v>33.927200000001115</c:v>
                </c:pt>
                <c:pt idx="792">
                  <c:v>33.927300000001118</c:v>
                </c:pt>
                <c:pt idx="793">
                  <c:v>33.927400000001121</c:v>
                </c:pt>
                <c:pt idx="794">
                  <c:v>33.927500000001125</c:v>
                </c:pt>
                <c:pt idx="795">
                  <c:v>33.927600000001128</c:v>
                </c:pt>
                <c:pt idx="796">
                  <c:v>33.927700000001131</c:v>
                </c:pt>
                <c:pt idx="797">
                  <c:v>33.927800000001135</c:v>
                </c:pt>
                <c:pt idx="798">
                  <c:v>33.927900000001138</c:v>
                </c:pt>
                <c:pt idx="799">
                  <c:v>33.928000000001141</c:v>
                </c:pt>
                <c:pt idx="800">
                  <c:v>33.928100000001145</c:v>
                </c:pt>
                <c:pt idx="801">
                  <c:v>33.928200000001148</c:v>
                </c:pt>
                <c:pt idx="802">
                  <c:v>33.928300000001151</c:v>
                </c:pt>
                <c:pt idx="803">
                  <c:v>33.928400000001155</c:v>
                </c:pt>
                <c:pt idx="804">
                  <c:v>33.928500000001158</c:v>
                </c:pt>
                <c:pt idx="805">
                  <c:v>33.928600000001161</c:v>
                </c:pt>
                <c:pt idx="806">
                  <c:v>33.928700000001164</c:v>
                </c:pt>
                <c:pt idx="807">
                  <c:v>33.928800000001168</c:v>
                </c:pt>
                <c:pt idx="808">
                  <c:v>33.928900000001171</c:v>
                </c:pt>
                <c:pt idx="809">
                  <c:v>33.929000000001174</c:v>
                </c:pt>
                <c:pt idx="810">
                  <c:v>33.929100000001178</c:v>
                </c:pt>
                <c:pt idx="811">
                  <c:v>33.929200000001181</c:v>
                </c:pt>
                <c:pt idx="812">
                  <c:v>33.929300000001184</c:v>
                </c:pt>
                <c:pt idx="813">
                  <c:v>33.929400000001188</c:v>
                </c:pt>
                <c:pt idx="814">
                  <c:v>33.929500000001191</c:v>
                </c:pt>
                <c:pt idx="815">
                  <c:v>33.929600000001194</c:v>
                </c:pt>
                <c:pt idx="816">
                  <c:v>33.929700000001198</c:v>
                </c:pt>
                <c:pt idx="817">
                  <c:v>33.929800000001201</c:v>
                </c:pt>
                <c:pt idx="818">
                  <c:v>33.929900000001204</c:v>
                </c:pt>
                <c:pt idx="819">
                  <c:v>33.930000000001208</c:v>
                </c:pt>
                <c:pt idx="820">
                  <c:v>33.930100000001211</c:v>
                </c:pt>
                <c:pt idx="821">
                  <c:v>33.930200000001214</c:v>
                </c:pt>
                <c:pt idx="822">
                  <c:v>33.930300000001218</c:v>
                </c:pt>
                <c:pt idx="823">
                  <c:v>33.930400000001221</c:v>
                </c:pt>
                <c:pt idx="824">
                  <c:v>33.930500000001224</c:v>
                </c:pt>
                <c:pt idx="825">
                  <c:v>33.930600000001228</c:v>
                </c:pt>
                <c:pt idx="826">
                  <c:v>33.930700000001231</c:v>
                </c:pt>
                <c:pt idx="827">
                  <c:v>33.930800000001234</c:v>
                </c:pt>
                <c:pt idx="828">
                  <c:v>33.930900000001238</c:v>
                </c:pt>
                <c:pt idx="829">
                  <c:v>33.931000000001241</c:v>
                </c:pt>
                <c:pt idx="830">
                  <c:v>33.931100000001244</c:v>
                </c:pt>
                <c:pt idx="831">
                  <c:v>33.931200000001247</c:v>
                </c:pt>
                <c:pt idx="832">
                  <c:v>33.931300000001251</c:v>
                </c:pt>
                <c:pt idx="833">
                  <c:v>33.931400000001254</c:v>
                </c:pt>
                <c:pt idx="834">
                  <c:v>33.931500000001257</c:v>
                </c:pt>
                <c:pt idx="835">
                  <c:v>33.931600000001261</c:v>
                </c:pt>
                <c:pt idx="836">
                  <c:v>33.931700000001264</c:v>
                </c:pt>
                <c:pt idx="837">
                  <c:v>33.931800000001267</c:v>
                </c:pt>
                <c:pt idx="838">
                  <c:v>33.931900000001271</c:v>
                </c:pt>
                <c:pt idx="839">
                  <c:v>33.932000000001274</c:v>
                </c:pt>
                <c:pt idx="840">
                  <c:v>33.932100000001277</c:v>
                </c:pt>
                <c:pt idx="841">
                  <c:v>33.932200000001281</c:v>
                </c:pt>
                <c:pt idx="842">
                  <c:v>33.932300000001284</c:v>
                </c:pt>
                <c:pt idx="843">
                  <c:v>33.932400000001287</c:v>
                </c:pt>
                <c:pt idx="844">
                  <c:v>33.932500000001291</c:v>
                </c:pt>
                <c:pt idx="845">
                  <c:v>33.932600000001294</c:v>
                </c:pt>
                <c:pt idx="846">
                  <c:v>33.932700000001297</c:v>
                </c:pt>
                <c:pt idx="847">
                  <c:v>33.932800000001301</c:v>
                </c:pt>
                <c:pt idx="848">
                  <c:v>33.932900000001304</c:v>
                </c:pt>
                <c:pt idx="849">
                  <c:v>33.933000000001307</c:v>
                </c:pt>
                <c:pt idx="850">
                  <c:v>33.933100000001311</c:v>
                </c:pt>
                <c:pt idx="851">
                  <c:v>33.933200000001314</c:v>
                </c:pt>
                <c:pt idx="852">
                  <c:v>33.933300000001317</c:v>
                </c:pt>
                <c:pt idx="853">
                  <c:v>33.933400000001321</c:v>
                </c:pt>
                <c:pt idx="854">
                  <c:v>33.933500000001324</c:v>
                </c:pt>
                <c:pt idx="855">
                  <c:v>33.933600000001327</c:v>
                </c:pt>
                <c:pt idx="856">
                  <c:v>33.93370000000133</c:v>
                </c:pt>
                <c:pt idx="857">
                  <c:v>33.933800000001334</c:v>
                </c:pt>
                <c:pt idx="858">
                  <c:v>33.933900000001337</c:v>
                </c:pt>
                <c:pt idx="859">
                  <c:v>33.93400000000134</c:v>
                </c:pt>
                <c:pt idx="860">
                  <c:v>33.934100000001344</c:v>
                </c:pt>
                <c:pt idx="861">
                  <c:v>33.934200000001347</c:v>
                </c:pt>
                <c:pt idx="862">
                  <c:v>33.93430000000135</c:v>
                </c:pt>
                <c:pt idx="863">
                  <c:v>33.934400000001354</c:v>
                </c:pt>
                <c:pt idx="864">
                  <c:v>33.934500000001357</c:v>
                </c:pt>
                <c:pt idx="865">
                  <c:v>33.93460000000136</c:v>
                </c:pt>
                <c:pt idx="866">
                  <c:v>33.934700000001364</c:v>
                </c:pt>
                <c:pt idx="867">
                  <c:v>33.934800000001367</c:v>
                </c:pt>
                <c:pt idx="868">
                  <c:v>33.93490000000137</c:v>
                </c:pt>
                <c:pt idx="869">
                  <c:v>33.935000000001374</c:v>
                </c:pt>
                <c:pt idx="870">
                  <c:v>33.935100000001377</c:v>
                </c:pt>
                <c:pt idx="871">
                  <c:v>33.93520000000138</c:v>
                </c:pt>
                <c:pt idx="872">
                  <c:v>33.935300000001384</c:v>
                </c:pt>
                <c:pt idx="873">
                  <c:v>33.935400000001387</c:v>
                </c:pt>
                <c:pt idx="874">
                  <c:v>33.93550000000139</c:v>
                </c:pt>
                <c:pt idx="875">
                  <c:v>33.935600000001394</c:v>
                </c:pt>
                <c:pt idx="876">
                  <c:v>33.935700000001397</c:v>
                </c:pt>
                <c:pt idx="877">
                  <c:v>33.9358000000014</c:v>
                </c:pt>
                <c:pt idx="878">
                  <c:v>33.935900000001403</c:v>
                </c:pt>
                <c:pt idx="879">
                  <c:v>33.936000000001407</c:v>
                </c:pt>
                <c:pt idx="880">
                  <c:v>33.93610000000141</c:v>
                </c:pt>
                <c:pt idx="881">
                  <c:v>33.936200000001413</c:v>
                </c:pt>
                <c:pt idx="882">
                  <c:v>33.936300000001417</c:v>
                </c:pt>
                <c:pt idx="883">
                  <c:v>33.93640000000142</c:v>
                </c:pt>
                <c:pt idx="884">
                  <c:v>33.936500000001423</c:v>
                </c:pt>
                <c:pt idx="885">
                  <c:v>33.936600000001427</c:v>
                </c:pt>
                <c:pt idx="886">
                  <c:v>33.93670000000143</c:v>
                </c:pt>
                <c:pt idx="887">
                  <c:v>33.936800000001433</c:v>
                </c:pt>
                <c:pt idx="888">
                  <c:v>33.936900000001437</c:v>
                </c:pt>
                <c:pt idx="889">
                  <c:v>33.93700000000144</c:v>
                </c:pt>
                <c:pt idx="890">
                  <c:v>33.937100000001443</c:v>
                </c:pt>
                <c:pt idx="891">
                  <c:v>33.937200000001447</c:v>
                </c:pt>
                <c:pt idx="892">
                  <c:v>33.93730000000145</c:v>
                </c:pt>
                <c:pt idx="893">
                  <c:v>33.937400000001453</c:v>
                </c:pt>
                <c:pt idx="894">
                  <c:v>33.937500000001457</c:v>
                </c:pt>
                <c:pt idx="895">
                  <c:v>33.93760000000146</c:v>
                </c:pt>
                <c:pt idx="896">
                  <c:v>33.937700000001463</c:v>
                </c:pt>
                <c:pt idx="897">
                  <c:v>33.937800000001467</c:v>
                </c:pt>
                <c:pt idx="898">
                  <c:v>33.93790000000147</c:v>
                </c:pt>
                <c:pt idx="899">
                  <c:v>33.938000000001473</c:v>
                </c:pt>
                <c:pt idx="900">
                  <c:v>33.938100000001477</c:v>
                </c:pt>
                <c:pt idx="901">
                  <c:v>33.93820000000148</c:v>
                </c:pt>
                <c:pt idx="902">
                  <c:v>33.938300000001483</c:v>
                </c:pt>
                <c:pt idx="903">
                  <c:v>33.938400000001486</c:v>
                </c:pt>
                <c:pt idx="904">
                  <c:v>33.93850000000149</c:v>
                </c:pt>
                <c:pt idx="905">
                  <c:v>33.938600000001493</c:v>
                </c:pt>
                <c:pt idx="906">
                  <c:v>33.938700000001496</c:v>
                </c:pt>
                <c:pt idx="907">
                  <c:v>33.9388000000015</c:v>
                </c:pt>
                <c:pt idx="908">
                  <c:v>33.938900000001503</c:v>
                </c:pt>
                <c:pt idx="909">
                  <c:v>33.939000000001506</c:v>
                </c:pt>
                <c:pt idx="910">
                  <c:v>33.93910000000151</c:v>
                </c:pt>
                <c:pt idx="911">
                  <c:v>33.939200000001513</c:v>
                </c:pt>
                <c:pt idx="912">
                  <c:v>33.939300000001516</c:v>
                </c:pt>
                <c:pt idx="913">
                  <c:v>33.93940000000152</c:v>
                </c:pt>
                <c:pt idx="914">
                  <c:v>33.939500000001523</c:v>
                </c:pt>
                <c:pt idx="915">
                  <c:v>33.939600000001526</c:v>
                </c:pt>
                <c:pt idx="916">
                  <c:v>33.93970000000153</c:v>
                </c:pt>
                <c:pt idx="917">
                  <c:v>33.939800000001533</c:v>
                </c:pt>
                <c:pt idx="918">
                  <c:v>33.939900000001536</c:v>
                </c:pt>
                <c:pt idx="919">
                  <c:v>33.94000000000154</c:v>
                </c:pt>
                <c:pt idx="920">
                  <c:v>33.940100000001543</c:v>
                </c:pt>
                <c:pt idx="921">
                  <c:v>33.940200000001546</c:v>
                </c:pt>
                <c:pt idx="922">
                  <c:v>33.94030000000155</c:v>
                </c:pt>
                <c:pt idx="923">
                  <c:v>33.940400000001553</c:v>
                </c:pt>
                <c:pt idx="924">
                  <c:v>33.940500000001556</c:v>
                </c:pt>
                <c:pt idx="925">
                  <c:v>33.94060000000156</c:v>
                </c:pt>
                <c:pt idx="926">
                  <c:v>33.940700000001563</c:v>
                </c:pt>
                <c:pt idx="927">
                  <c:v>33.940800000001566</c:v>
                </c:pt>
                <c:pt idx="928">
                  <c:v>33.940900000001569</c:v>
                </c:pt>
                <c:pt idx="929">
                  <c:v>33.941000000001573</c:v>
                </c:pt>
                <c:pt idx="930">
                  <c:v>33.941100000001576</c:v>
                </c:pt>
                <c:pt idx="931">
                  <c:v>33.941200000001579</c:v>
                </c:pt>
                <c:pt idx="932">
                  <c:v>33.941300000001583</c:v>
                </c:pt>
                <c:pt idx="933">
                  <c:v>33.941400000001586</c:v>
                </c:pt>
                <c:pt idx="934">
                  <c:v>33.941500000001589</c:v>
                </c:pt>
                <c:pt idx="935">
                  <c:v>33.941600000001593</c:v>
                </c:pt>
                <c:pt idx="936">
                  <c:v>33.941700000001596</c:v>
                </c:pt>
                <c:pt idx="937">
                  <c:v>33.941800000001599</c:v>
                </c:pt>
                <c:pt idx="938">
                  <c:v>33.941900000001603</c:v>
                </c:pt>
                <c:pt idx="939">
                  <c:v>33.942000000001606</c:v>
                </c:pt>
                <c:pt idx="940">
                  <c:v>33.942100000001609</c:v>
                </c:pt>
                <c:pt idx="941">
                  <c:v>33.942200000001613</c:v>
                </c:pt>
                <c:pt idx="942">
                  <c:v>33.942300000001616</c:v>
                </c:pt>
                <c:pt idx="943">
                  <c:v>33.942400000001619</c:v>
                </c:pt>
                <c:pt idx="944">
                  <c:v>33.942500000001623</c:v>
                </c:pt>
                <c:pt idx="945">
                  <c:v>33.942600000001626</c:v>
                </c:pt>
                <c:pt idx="946">
                  <c:v>33.942700000001629</c:v>
                </c:pt>
                <c:pt idx="947">
                  <c:v>33.942800000001633</c:v>
                </c:pt>
                <c:pt idx="948">
                  <c:v>33.942900000001636</c:v>
                </c:pt>
                <c:pt idx="949">
                  <c:v>33.943000000001639</c:v>
                </c:pt>
                <c:pt idx="950">
                  <c:v>33.943100000001643</c:v>
                </c:pt>
                <c:pt idx="951">
                  <c:v>33.943200000001646</c:v>
                </c:pt>
                <c:pt idx="952">
                  <c:v>33.943300000001649</c:v>
                </c:pt>
                <c:pt idx="953">
                  <c:v>33.943400000001652</c:v>
                </c:pt>
                <c:pt idx="954">
                  <c:v>33.943500000001656</c:v>
                </c:pt>
                <c:pt idx="955">
                  <c:v>33.943600000001659</c:v>
                </c:pt>
                <c:pt idx="956">
                  <c:v>33.943700000001662</c:v>
                </c:pt>
                <c:pt idx="957">
                  <c:v>33.943800000001666</c:v>
                </c:pt>
                <c:pt idx="958">
                  <c:v>33.943900000001669</c:v>
                </c:pt>
                <c:pt idx="959">
                  <c:v>33.944000000001672</c:v>
                </c:pt>
                <c:pt idx="960">
                  <c:v>33.944100000001676</c:v>
                </c:pt>
                <c:pt idx="961">
                  <c:v>33.944200000001679</c:v>
                </c:pt>
                <c:pt idx="962">
                  <c:v>33.944300000001682</c:v>
                </c:pt>
                <c:pt idx="963">
                  <c:v>33.944400000001686</c:v>
                </c:pt>
                <c:pt idx="964">
                  <c:v>33.944500000001689</c:v>
                </c:pt>
                <c:pt idx="965">
                  <c:v>33.944600000001692</c:v>
                </c:pt>
                <c:pt idx="966">
                  <c:v>33.944700000001696</c:v>
                </c:pt>
                <c:pt idx="967">
                  <c:v>33.944800000001699</c:v>
                </c:pt>
                <c:pt idx="968">
                  <c:v>33.944900000001702</c:v>
                </c:pt>
                <c:pt idx="969">
                  <c:v>33.945000000001706</c:v>
                </c:pt>
                <c:pt idx="970">
                  <c:v>33.945100000001709</c:v>
                </c:pt>
                <c:pt idx="971">
                  <c:v>33.945200000001712</c:v>
                </c:pt>
                <c:pt idx="972">
                  <c:v>33.945300000001716</c:v>
                </c:pt>
                <c:pt idx="973">
                  <c:v>33.945400000001719</c:v>
                </c:pt>
                <c:pt idx="974">
                  <c:v>33.945500000001722</c:v>
                </c:pt>
                <c:pt idx="975">
                  <c:v>33.945600000001726</c:v>
                </c:pt>
                <c:pt idx="976">
                  <c:v>33.945700000001729</c:v>
                </c:pt>
                <c:pt idx="977">
                  <c:v>33.945800000001732</c:v>
                </c:pt>
                <c:pt idx="978">
                  <c:v>33.945900000001735</c:v>
                </c:pt>
                <c:pt idx="979">
                  <c:v>33.946000000001739</c:v>
                </c:pt>
                <c:pt idx="980">
                  <c:v>33.946100000001742</c:v>
                </c:pt>
                <c:pt idx="981">
                  <c:v>33.946200000001745</c:v>
                </c:pt>
                <c:pt idx="982">
                  <c:v>33.946300000001749</c:v>
                </c:pt>
                <c:pt idx="983">
                  <c:v>33.946400000001752</c:v>
                </c:pt>
                <c:pt idx="984">
                  <c:v>33.946500000001755</c:v>
                </c:pt>
                <c:pt idx="985">
                  <c:v>33.946600000001759</c:v>
                </c:pt>
                <c:pt idx="986">
                  <c:v>33.946700000001762</c:v>
                </c:pt>
                <c:pt idx="987">
                  <c:v>33.946800000001765</c:v>
                </c:pt>
                <c:pt idx="988">
                  <c:v>33.946900000001769</c:v>
                </c:pt>
                <c:pt idx="989">
                  <c:v>33.947000000001772</c:v>
                </c:pt>
                <c:pt idx="990">
                  <c:v>33.947100000001775</c:v>
                </c:pt>
                <c:pt idx="991">
                  <c:v>33.947200000001779</c:v>
                </c:pt>
                <c:pt idx="992">
                  <c:v>33.947300000001782</c:v>
                </c:pt>
                <c:pt idx="993">
                  <c:v>33.947400000001785</c:v>
                </c:pt>
                <c:pt idx="994">
                  <c:v>33.947500000001789</c:v>
                </c:pt>
                <c:pt idx="995">
                  <c:v>33.947600000001792</c:v>
                </c:pt>
                <c:pt idx="996">
                  <c:v>33.947700000001795</c:v>
                </c:pt>
                <c:pt idx="997">
                  <c:v>33.947800000001799</c:v>
                </c:pt>
                <c:pt idx="998">
                  <c:v>33.947900000001802</c:v>
                </c:pt>
                <c:pt idx="999">
                  <c:v>33.948000000001805</c:v>
                </c:pt>
                <c:pt idx="1000">
                  <c:v>33.948100000001808</c:v>
                </c:pt>
              </c:numCache>
            </c:numRef>
          </c:xVal>
          <c:yVal>
            <c:numRef>
              <c:f>Calculs!$T$4:$T$1004</c:f>
              <c:numCache>
                <c:formatCode>0.00</c:formatCode>
                <c:ptCount val="1001"/>
                <c:pt idx="0">
                  <c:v>88.603920000000002</c:v>
                </c:pt>
                <c:pt idx="1">
                  <c:v>88.592054448031831</c:v>
                </c:pt>
                <c:pt idx="2">
                  <c:v>88.547178436341255</c:v>
                </c:pt>
                <c:pt idx="3">
                  <c:v>88.482229775511783</c:v>
                </c:pt>
                <c:pt idx="4">
                  <c:v>88.419425631912929</c:v>
                </c:pt>
                <c:pt idx="5">
                  <c:v>88.35876600554468</c:v>
                </c:pt>
                <c:pt idx="6">
                  <c:v>88.298969119502843</c:v>
                </c:pt>
                <c:pt idx="7">
                  <c:v>88.238753196883223</c:v>
                </c:pt>
                <c:pt idx="8">
                  <c:v>88.178118237685823</c:v>
                </c:pt>
                <c:pt idx="9">
                  <c:v>88.117064241910626</c:v>
                </c:pt>
                <c:pt idx="10">
                  <c:v>88.055591209557662</c:v>
                </c:pt>
                <c:pt idx="11">
                  <c:v>87.993831716626545</c:v>
                </c:pt>
                <c:pt idx="12">
                  <c:v>87.931918339116933</c:v>
                </c:pt>
                <c:pt idx="13">
                  <c:v>87.869851077028827</c:v>
                </c:pt>
                <c:pt idx="14">
                  <c:v>87.807629930362225</c:v>
                </c:pt>
                <c:pt idx="15">
                  <c:v>87.745254899117128</c:v>
                </c:pt>
                <c:pt idx="16">
                  <c:v>87.682725983293523</c:v>
                </c:pt>
                <c:pt idx="17">
                  <c:v>87.620043182891436</c:v>
                </c:pt>
                <c:pt idx="18">
                  <c:v>87.557206497910826</c:v>
                </c:pt>
                <c:pt idx="19">
                  <c:v>87.49421592835175</c:v>
                </c:pt>
                <c:pt idx="20">
                  <c:v>87.431071474214178</c:v>
                </c:pt>
                <c:pt idx="21">
                  <c:v>87.367825973060135</c:v>
                </c:pt>
                <c:pt idx="22">
                  <c:v>87.304532262451687</c:v>
                </c:pt>
                <c:pt idx="23">
                  <c:v>87.241190342388805</c:v>
                </c:pt>
                <c:pt idx="24">
                  <c:v>87.177800212871517</c:v>
                </c:pt>
                <c:pt idx="25">
                  <c:v>87.11436187389981</c:v>
                </c:pt>
                <c:pt idx="26">
                  <c:v>87.050875325473697</c:v>
                </c:pt>
                <c:pt idx="27">
                  <c:v>86.987340567593165</c:v>
                </c:pt>
                <c:pt idx="28">
                  <c:v>86.923757600258213</c:v>
                </c:pt>
                <c:pt idx="29">
                  <c:v>86.860126423468856</c:v>
                </c:pt>
                <c:pt idx="30">
                  <c:v>86.796447037225064</c:v>
                </c:pt>
                <c:pt idx="31">
                  <c:v>86.732719441526868</c:v>
                </c:pt>
                <c:pt idx="32">
                  <c:v>86.668943636374237</c:v>
                </c:pt>
                <c:pt idx="33">
                  <c:v>86.605119621767201</c:v>
                </c:pt>
                <c:pt idx="34">
                  <c:v>86.54124739770576</c:v>
                </c:pt>
                <c:pt idx="35">
                  <c:v>86.477326964189899</c:v>
                </c:pt>
                <c:pt idx="36">
                  <c:v>86.413358321219619</c:v>
                </c:pt>
                <c:pt idx="37">
                  <c:v>86.349341468794918</c:v>
                </c:pt>
                <c:pt idx="38">
                  <c:v>86.285276406915798</c:v>
                </c:pt>
                <c:pt idx="39">
                  <c:v>86.221163135582273</c:v>
                </c:pt>
                <c:pt idx="40">
                  <c:v>86.157001654794314</c:v>
                </c:pt>
                <c:pt idx="41">
                  <c:v>86.092832526781663</c:v>
                </c:pt>
                <c:pt idx="42">
                  <c:v>86.028696313774006</c:v>
                </c:pt>
                <c:pt idx="43">
                  <c:v>85.964593015771356</c:v>
                </c:pt>
                <c:pt idx="44">
                  <c:v>85.900522632773715</c:v>
                </c:pt>
                <c:pt idx="45">
                  <c:v>85.836485164781081</c:v>
                </c:pt>
                <c:pt idx="46">
                  <c:v>85.772480611793426</c:v>
                </c:pt>
                <c:pt idx="47">
                  <c:v>85.708508973810794</c:v>
                </c:pt>
                <c:pt idx="48">
                  <c:v>85.644570250833155</c:v>
                </c:pt>
                <c:pt idx="49">
                  <c:v>85.580664442860524</c:v>
                </c:pt>
                <c:pt idx="50">
                  <c:v>85.516791549892886</c:v>
                </c:pt>
                <c:pt idx="51">
                  <c:v>85.452951571930271</c:v>
                </c:pt>
                <c:pt idx="52">
                  <c:v>85.389144508972635</c:v>
                </c:pt>
                <c:pt idx="53">
                  <c:v>85.325370361020006</c:v>
                </c:pt>
                <c:pt idx="54">
                  <c:v>85.261629128072386</c:v>
                </c:pt>
                <c:pt idx="55">
                  <c:v>85.197920810129773</c:v>
                </c:pt>
                <c:pt idx="56">
                  <c:v>85.134245407192168</c:v>
                </c:pt>
                <c:pt idx="57">
                  <c:v>85.070602919259557</c:v>
                </c:pt>
                <c:pt idx="58">
                  <c:v>85.006993346331939</c:v>
                </c:pt>
                <c:pt idx="59">
                  <c:v>84.943416688409329</c:v>
                </c:pt>
                <c:pt idx="60">
                  <c:v>84.879872945491726</c:v>
                </c:pt>
                <c:pt idx="61">
                  <c:v>84.816362117579132</c:v>
                </c:pt>
                <c:pt idx="62">
                  <c:v>84.752884204671531</c:v>
                </c:pt>
                <c:pt idx="63">
                  <c:v>84.689439206768952</c:v>
                </c:pt>
                <c:pt idx="64">
                  <c:v>84.626027123871353</c:v>
                </c:pt>
                <c:pt idx="65">
                  <c:v>84.562647955978747</c:v>
                </c:pt>
                <c:pt idx="66">
                  <c:v>84.499301703091163</c:v>
                </c:pt>
                <c:pt idx="67">
                  <c:v>84.435988365208573</c:v>
                </c:pt>
                <c:pt idx="68">
                  <c:v>84.372707942331004</c:v>
                </c:pt>
                <c:pt idx="69">
                  <c:v>84.30946043445843</c:v>
                </c:pt>
                <c:pt idx="70">
                  <c:v>84.246245841590849</c:v>
                </c:pt>
                <c:pt idx="71">
                  <c:v>84.183064163728261</c:v>
                </c:pt>
                <c:pt idx="72">
                  <c:v>84.119915400870696</c:v>
                </c:pt>
                <c:pt idx="73">
                  <c:v>84.056799553018124</c:v>
                </c:pt>
                <c:pt idx="74">
                  <c:v>83.993716620170559</c:v>
                </c:pt>
                <c:pt idx="75">
                  <c:v>83.930666602328003</c:v>
                </c:pt>
                <c:pt idx="76">
                  <c:v>83.86764949949044</c:v>
                </c:pt>
                <c:pt idx="77">
                  <c:v>83.804665311657871</c:v>
                </c:pt>
                <c:pt idx="78">
                  <c:v>83.741714038830324</c:v>
                </c:pt>
                <c:pt idx="79">
                  <c:v>83.67879568100777</c:v>
                </c:pt>
                <c:pt idx="80">
                  <c:v>83.615910238190224</c:v>
                </c:pt>
                <c:pt idx="81">
                  <c:v>83.55309780256519</c:v>
                </c:pt>
                <c:pt idx="82">
                  <c:v>83.490398466320229</c:v>
                </c:pt>
                <c:pt idx="83">
                  <c:v>83.427812229455327</c:v>
                </c:pt>
                <c:pt idx="84">
                  <c:v>83.365339091970483</c:v>
                </c:pt>
                <c:pt idx="85">
                  <c:v>83.302979053865712</c:v>
                </c:pt>
                <c:pt idx="86">
                  <c:v>83.240732115141</c:v>
                </c:pt>
                <c:pt idx="87">
                  <c:v>83.178598275796361</c:v>
                </c:pt>
                <c:pt idx="88">
                  <c:v>83.116577535831766</c:v>
                </c:pt>
                <c:pt idx="89">
                  <c:v>83.05466989524723</c:v>
                </c:pt>
                <c:pt idx="90">
                  <c:v>82.992875354042752</c:v>
                </c:pt>
                <c:pt idx="91">
                  <c:v>82.931211508669193</c:v>
                </c:pt>
                <c:pt idx="92">
                  <c:v>82.869695955577427</c:v>
                </c:pt>
                <c:pt idx="93">
                  <c:v>82.80832869476744</c:v>
                </c:pt>
                <c:pt idx="94">
                  <c:v>82.747109726239245</c:v>
                </c:pt>
                <c:pt idx="95">
                  <c:v>82.686039049992829</c:v>
                </c:pt>
                <c:pt idx="96">
                  <c:v>82.625116666028205</c:v>
                </c:pt>
                <c:pt idx="97">
                  <c:v>82.564342574345361</c:v>
                </c:pt>
                <c:pt idx="98">
                  <c:v>82.503716774944294</c:v>
                </c:pt>
                <c:pt idx="99">
                  <c:v>82.443239267825007</c:v>
                </c:pt>
                <c:pt idx="100">
                  <c:v>82.382910052987498</c:v>
                </c:pt>
                <c:pt idx="101">
                  <c:v>82.322731926580147</c:v>
                </c:pt>
                <c:pt idx="102">
                  <c:v>82.262707684751291</c:v>
                </c:pt>
                <c:pt idx="103">
                  <c:v>82.20283732750093</c:v>
                </c:pt>
                <c:pt idx="104">
                  <c:v>82.143120854829078</c:v>
                </c:pt>
                <c:pt idx="105">
                  <c:v>82.083558266735707</c:v>
                </c:pt>
                <c:pt idx="106">
                  <c:v>82.024149563220831</c:v>
                </c:pt>
                <c:pt idx="107">
                  <c:v>81.96489474428445</c:v>
                </c:pt>
                <c:pt idx="108">
                  <c:v>81.905793809926564</c:v>
                </c:pt>
                <c:pt idx="109">
                  <c:v>81.846846760147187</c:v>
                </c:pt>
                <c:pt idx="110">
                  <c:v>81.788053594946305</c:v>
                </c:pt>
                <c:pt idx="111">
                  <c:v>81.729382327350905</c:v>
                </c:pt>
                <c:pt idx="112">
                  <c:v>81.670800970388001</c:v>
                </c:pt>
                <c:pt idx="113">
                  <c:v>81.612309524057579</c:v>
                </c:pt>
                <c:pt idx="114">
                  <c:v>81.553907988359626</c:v>
                </c:pt>
                <c:pt idx="115">
                  <c:v>81.495596363294183</c:v>
                </c:pt>
                <c:pt idx="116">
                  <c:v>81.437374648861208</c:v>
                </c:pt>
                <c:pt idx="117">
                  <c:v>81.379242845060745</c:v>
                </c:pt>
                <c:pt idx="118">
                  <c:v>81.321200951892749</c:v>
                </c:pt>
                <c:pt idx="119">
                  <c:v>81.263248969357235</c:v>
                </c:pt>
                <c:pt idx="120">
                  <c:v>81.205386897454218</c:v>
                </c:pt>
                <c:pt idx="121">
                  <c:v>81.147667453222084</c:v>
                </c:pt>
                <c:pt idx="122">
                  <c:v>81.090143353699247</c:v>
                </c:pt>
                <c:pt idx="123">
                  <c:v>81.032814598885707</c:v>
                </c:pt>
                <c:pt idx="124">
                  <c:v>80.975681188781465</c:v>
                </c:pt>
                <c:pt idx="125">
                  <c:v>80.91874312338652</c:v>
                </c:pt>
                <c:pt idx="126">
                  <c:v>80.862000402700858</c:v>
                </c:pt>
                <c:pt idx="127">
                  <c:v>80.805453026724493</c:v>
                </c:pt>
                <c:pt idx="128">
                  <c:v>80.749100995457425</c:v>
                </c:pt>
                <c:pt idx="129">
                  <c:v>80.692944308899641</c:v>
                </c:pt>
                <c:pt idx="130">
                  <c:v>80.636982967051168</c:v>
                </c:pt>
                <c:pt idx="131">
                  <c:v>80.581230685501765</c:v>
                </c:pt>
                <c:pt idx="132">
                  <c:v>80.525701179841221</c:v>
                </c:pt>
                <c:pt idx="133">
                  <c:v>80.470394450069534</c:v>
                </c:pt>
                <c:pt idx="134">
                  <c:v>80.415310496186706</c:v>
                </c:pt>
                <c:pt idx="135">
                  <c:v>80.360449318192721</c:v>
                </c:pt>
                <c:pt idx="136">
                  <c:v>80.305810916087594</c:v>
                </c:pt>
                <c:pt idx="137">
                  <c:v>80.251395289871326</c:v>
                </c:pt>
                <c:pt idx="138">
                  <c:v>80.197202439543929</c:v>
                </c:pt>
                <c:pt idx="139">
                  <c:v>80.143232365105376</c:v>
                </c:pt>
                <c:pt idx="140">
                  <c:v>80.089485066555696</c:v>
                </c:pt>
                <c:pt idx="141">
                  <c:v>80.036123548095148</c:v>
                </c:pt>
                <c:pt idx="142">
                  <c:v>79.983310813924049</c:v>
                </c:pt>
                <c:pt idx="143">
                  <c:v>79.931046864042386</c:v>
                </c:pt>
                <c:pt idx="144">
                  <c:v>79.879331698450159</c:v>
                </c:pt>
                <c:pt idx="145">
                  <c:v>79.828165317147352</c:v>
                </c:pt>
                <c:pt idx="146">
                  <c:v>79.777547720133995</c:v>
                </c:pt>
                <c:pt idx="147">
                  <c:v>79.727478907410074</c:v>
                </c:pt>
                <c:pt idx="148">
                  <c:v>79.677958878975602</c:v>
                </c:pt>
                <c:pt idx="149">
                  <c:v>79.628987634830551</c:v>
                </c:pt>
                <c:pt idx="150">
                  <c:v>79.580565174974964</c:v>
                </c:pt>
                <c:pt idx="151">
                  <c:v>79.532691499408784</c:v>
                </c:pt>
                <c:pt idx="152">
                  <c:v>79.48536660813204</c:v>
                </c:pt>
                <c:pt idx="153">
                  <c:v>79.438590501144745</c:v>
                </c:pt>
                <c:pt idx="154">
                  <c:v>79.392363178446899</c:v>
                </c:pt>
                <c:pt idx="155">
                  <c:v>79.346684640038475</c:v>
                </c:pt>
                <c:pt idx="156">
                  <c:v>79.30232056454436</c:v>
                </c:pt>
                <c:pt idx="157">
                  <c:v>79.260036630589383</c:v>
                </c:pt>
                <c:pt idx="158">
                  <c:v>79.219832838173559</c:v>
                </c:pt>
                <c:pt idx="159">
                  <c:v>79.181709187296875</c:v>
                </c:pt>
                <c:pt idx="160">
                  <c:v>79.145665677959357</c:v>
                </c:pt>
                <c:pt idx="161">
                  <c:v>79.112673778876911</c:v>
                </c:pt>
                <c:pt idx="162">
                  <c:v>79.083704958765495</c:v>
                </c:pt>
                <c:pt idx="163">
                  <c:v>79.058666655472635</c:v>
                </c:pt>
                <c:pt idx="164">
                  <c:v>79.037466306845857</c:v>
                </c:pt>
                <c:pt idx="165">
                  <c:v>79.019176724553091</c:v>
                </c:pt>
                <c:pt idx="166">
                  <c:v>79.002870720262266</c:v>
                </c:pt>
                <c:pt idx="167">
                  <c:v>78.98925299567334</c:v>
                </c:pt>
                <c:pt idx="168">
                  <c:v>78.97851843750577</c:v>
                </c:pt>
                <c:pt idx="169">
                  <c:v>78.97212224814109</c:v>
                </c:pt>
                <c:pt idx="170">
                  <c:v>78.970499999999987</c:v>
                </c:pt>
                <c:pt idx="171">
                  <c:v>78.970499999999987</c:v>
                </c:pt>
                <c:pt idx="172">
                  <c:v>78.970499999999987</c:v>
                </c:pt>
                <c:pt idx="173">
                  <c:v>78.970499999999987</c:v>
                </c:pt>
                <c:pt idx="174">
                  <c:v>78.970499999999987</c:v>
                </c:pt>
                <c:pt idx="175">
                  <c:v>78.970499999999987</c:v>
                </c:pt>
                <c:pt idx="176">
                  <c:v>78.970499999999987</c:v>
                </c:pt>
                <c:pt idx="177">
                  <c:v>78.970499999999987</c:v>
                </c:pt>
                <c:pt idx="178">
                  <c:v>78.970499999999987</c:v>
                </c:pt>
                <c:pt idx="179">
                  <c:v>78.970499999999987</c:v>
                </c:pt>
                <c:pt idx="180">
                  <c:v>78.970499999999987</c:v>
                </c:pt>
                <c:pt idx="181">
                  <c:v>78.970499999999987</c:v>
                </c:pt>
                <c:pt idx="182">
                  <c:v>78.970499999999987</c:v>
                </c:pt>
                <c:pt idx="183">
                  <c:v>78.970499999999987</c:v>
                </c:pt>
                <c:pt idx="184">
                  <c:v>78.970499999999987</c:v>
                </c:pt>
                <c:pt idx="185">
                  <c:v>78.970499999999987</c:v>
                </c:pt>
                <c:pt idx="186">
                  <c:v>78.970499999999987</c:v>
                </c:pt>
                <c:pt idx="187">
                  <c:v>78.970499999999987</c:v>
                </c:pt>
                <c:pt idx="188">
                  <c:v>78.970499999999987</c:v>
                </c:pt>
                <c:pt idx="189">
                  <c:v>78.970499999999987</c:v>
                </c:pt>
                <c:pt idx="190">
                  <c:v>78.970499999999987</c:v>
                </c:pt>
                <c:pt idx="191">
                  <c:v>78.970499999999987</c:v>
                </c:pt>
                <c:pt idx="192">
                  <c:v>78.970499999999987</c:v>
                </c:pt>
                <c:pt idx="193">
                  <c:v>78.970499999999987</c:v>
                </c:pt>
                <c:pt idx="194">
                  <c:v>78.970499999999987</c:v>
                </c:pt>
                <c:pt idx="195">
                  <c:v>78.970499999999987</c:v>
                </c:pt>
                <c:pt idx="196">
                  <c:v>78.970499999999987</c:v>
                </c:pt>
                <c:pt idx="197">
                  <c:v>78.970499999999987</c:v>
                </c:pt>
                <c:pt idx="198">
                  <c:v>78.970499999999987</c:v>
                </c:pt>
                <c:pt idx="199">
                  <c:v>78.970499999999987</c:v>
                </c:pt>
                <c:pt idx="200">
                  <c:v>78.970499999999987</c:v>
                </c:pt>
                <c:pt idx="201">
                  <c:v>78.970499999999987</c:v>
                </c:pt>
                <c:pt idx="202">
                  <c:v>78.970499999999987</c:v>
                </c:pt>
                <c:pt idx="203">
                  <c:v>78.970499999999987</c:v>
                </c:pt>
                <c:pt idx="204">
                  <c:v>78.970499999999987</c:v>
                </c:pt>
                <c:pt idx="205">
                  <c:v>78.970499999999987</c:v>
                </c:pt>
                <c:pt idx="206">
                  <c:v>78.970499999999987</c:v>
                </c:pt>
                <c:pt idx="207">
                  <c:v>78.970499999999987</c:v>
                </c:pt>
                <c:pt idx="208">
                  <c:v>78.970499999999987</c:v>
                </c:pt>
                <c:pt idx="209">
                  <c:v>78.970499999999987</c:v>
                </c:pt>
                <c:pt idx="210">
                  <c:v>78.970499999999987</c:v>
                </c:pt>
                <c:pt idx="211">
                  <c:v>78.970499999999987</c:v>
                </c:pt>
                <c:pt idx="212">
                  <c:v>78.970499999999987</c:v>
                </c:pt>
                <c:pt idx="213">
                  <c:v>78.970499999999987</c:v>
                </c:pt>
                <c:pt idx="214">
                  <c:v>78.970499999999987</c:v>
                </c:pt>
                <c:pt idx="215">
                  <c:v>78.970499999999987</c:v>
                </c:pt>
                <c:pt idx="216">
                  <c:v>78.970499999999987</c:v>
                </c:pt>
                <c:pt idx="217">
                  <c:v>78.970499999999987</c:v>
                </c:pt>
                <c:pt idx="218">
                  <c:v>78.970499999999987</c:v>
                </c:pt>
                <c:pt idx="219">
                  <c:v>78.970499999999987</c:v>
                </c:pt>
                <c:pt idx="220">
                  <c:v>78.970499999999987</c:v>
                </c:pt>
                <c:pt idx="221">
                  <c:v>78.970499999999987</c:v>
                </c:pt>
                <c:pt idx="222">
                  <c:v>78.970499999999987</c:v>
                </c:pt>
                <c:pt idx="223">
                  <c:v>78.970499999999987</c:v>
                </c:pt>
                <c:pt idx="224">
                  <c:v>78.970499999999987</c:v>
                </c:pt>
                <c:pt idx="225">
                  <c:v>78.970499999999987</c:v>
                </c:pt>
                <c:pt idx="226">
                  <c:v>78.970499999999987</c:v>
                </c:pt>
                <c:pt idx="227">
                  <c:v>78.970499999999987</c:v>
                </c:pt>
                <c:pt idx="228">
                  <c:v>78.970499999999987</c:v>
                </c:pt>
                <c:pt idx="229">
                  <c:v>78.970499999999987</c:v>
                </c:pt>
                <c:pt idx="230">
                  <c:v>78.970499999999987</c:v>
                </c:pt>
                <c:pt idx="231">
                  <c:v>78.970499999999987</c:v>
                </c:pt>
                <c:pt idx="232">
                  <c:v>78.970499999999987</c:v>
                </c:pt>
                <c:pt idx="233">
                  <c:v>78.970499999999987</c:v>
                </c:pt>
                <c:pt idx="234">
                  <c:v>78.970499999999987</c:v>
                </c:pt>
                <c:pt idx="235">
                  <c:v>78.970499999999987</c:v>
                </c:pt>
                <c:pt idx="236">
                  <c:v>78.970499999999987</c:v>
                </c:pt>
                <c:pt idx="237">
                  <c:v>78.970499999999987</c:v>
                </c:pt>
                <c:pt idx="238">
                  <c:v>78.970499999999987</c:v>
                </c:pt>
                <c:pt idx="239">
                  <c:v>78.970499999999987</c:v>
                </c:pt>
                <c:pt idx="240">
                  <c:v>78.970499999999987</c:v>
                </c:pt>
                <c:pt idx="241">
                  <c:v>78.970499999999987</c:v>
                </c:pt>
                <c:pt idx="242">
                  <c:v>78.970499999999987</c:v>
                </c:pt>
                <c:pt idx="243">
                  <c:v>78.970499999999987</c:v>
                </c:pt>
                <c:pt idx="244">
                  <c:v>78.970499999999987</c:v>
                </c:pt>
                <c:pt idx="245">
                  <c:v>78.970499999999987</c:v>
                </c:pt>
                <c:pt idx="246">
                  <c:v>78.970499999999987</c:v>
                </c:pt>
                <c:pt idx="247">
                  <c:v>78.970499999999987</c:v>
                </c:pt>
                <c:pt idx="248">
                  <c:v>78.970499999999987</c:v>
                </c:pt>
                <c:pt idx="249">
                  <c:v>78.970499999999987</c:v>
                </c:pt>
                <c:pt idx="250">
                  <c:v>78.970499999999987</c:v>
                </c:pt>
                <c:pt idx="251">
                  <c:v>78.970499999999987</c:v>
                </c:pt>
                <c:pt idx="252">
                  <c:v>78.970499999999987</c:v>
                </c:pt>
                <c:pt idx="253">
                  <c:v>78.970499999999987</c:v>
                </c:pt>
                <c:pt idx="254">
                  <c:v>78.970499999999987</c:v>
                </c:pt>
                <c:pt idx="255">
                  <c:v>78.970499999999987</c:v>
                </c:pt>
                <c:pt idx="256">
                  <c:v>78.970499999999987</c:v>
                </c:pt>
                <c:pt idx="257">
                  <c:v>78.970499999999987</c:v>
                </c:pt>
                <c:pt idx="258">
                  <c:v>78.970499999999987</c:v>
                </c:pt>
                <c:pt idx="259">
                  <c:v>78.970499999999987</c:v>
                </c:pt>
                <c:pt idx="260">
                  <c:v>78.970499999999987</c:v>
                </c:pt>
                <c:pt idx="261">
                  <c:v>78.970499999999987</c:v>
                </c:pt>
                <c:pt idx="262">
                  <c:v>78.970499999999987</c:v>
                </c:pt>
                <c:pt idx="263">
                  <c:v>78.970499999999987</c:v>
                </c:pt>
                <c:pt idx="264">
                  <c:v>78.970499999999987</c:v>
                </c:pt>
                <c:pt idx="265">
                  <c:v>78.970499999999987</c:v>
                </c:pt>
                <c:pt idx="266">
                  <c:v>78.970499999999987</c:v>
                </c:pt>
                <c:pt idx="267">
                  <c:v>78.970499999999987</c:v>
                </c:pt>
                <c:pt idx="268">
                  <c:v>78.970499999999987</c:v>
                </c:pt>
                <c:pt idx="269">
                  <c:v>78.970499999999987</c:v>
                </c:pt>
                <c:pt idx="270">
                  <c:v>78.970499999999987</c:v>
                </c:pt>
                <c:pt idx="271">
                  <c:v>78.970499999999987</c:v>
                </c:pt>
                <c:pt idx="272">
                  <c:v>78.970499999999987</c:v>
                </c:pt>
                <c:pt idx="273">
                  <c:v>78.970499999999987</c:v>
                </c:pt>
                <c:pt idx="274">
                  <c:v>78.970499999999987</c:v>
                </c:pt>
                <c:pt idx="275">
                  <c:v>78.970499999999987</c:v>
                </c:pt>
                <c:pt idx="276">
                  <c:v>78.970499999999987</c:v>
                </c:pt>
                <c:pt idx="277">
                  <c:v>78.970499999999987</c:v>
                </c:pt>
                <c:pt idx="278">
                  <c:v>78.970499999999987</c:v>
                </c:pt>
                <c:pt idx="279">
                  <c:v>78.970499999999987</c:v>
                </c:pt>
                <c:pt idx="280">
                  <c:v>78.970499999999987</c:v>
                </c:pt>
                <c:pt idx="281">
                  <c:v>78.970499999999987</c:v>
                </c:pt>
                <c:pt idx="282">
                  <c:v>78.970499999999987</c:v>
                </c:pt>
                <c:pt idx="283">
                  <c:v>78.970499999999987</c:v>
                </c:pt>
                <c:pt idx="284">
                  <c:v>78.970499999999987</c:v>
                </c:pt>
                <c:pt idx="285">
                  <c:v>78.970499999999987</c:v>
                </c:pt>
                <c:pt idx="286">
                  <c:v>78.970499999999987</c:v>
                </c:pt>
                <c:pt idx="287">
                  <c:v>78.970499999999987</c:v>
                </c:pt>
                <c:pt idx="288">
                  <c:v>78.970499999999987</c:v>
                </c:pt>
                <c:pt idx="289">
                  <c:v>78.970499999999987</c:v>
                </c:pt>
                <c:pt idx="290">
                  <c:v>78.970499999999987</c:v>
                </c:pt>
                <c:pt idx="291">
                  <c:v>78.970499999999987</c:v>
                </c:pt>
                <c:pt idx="292">
                  <c:v>78.970499999999987</c:v>
                </c:pt>
                <c:pt idx="293">
                  <c:v>78.970499999999987</c:v>
                </c:pt>
                <c:pt idx="294">
                  <c:v>78.970499999999987</c:v>
                </c:pt>
                <c:pt idx="295">
                  <c:v>78.970499999999987</c:v>
                </c:pt>
                <c:pt idx="296">
                  <c:v>78.970499999999987</c:v>
                </c:pt>
                <c:pt idx="297">
                  <c:v>78.970499999999987</c:v>
                </c:pt>
                <c:pt idx="298">
                  <c:v>78.970499999999987</c:v>
                </c:pt>
                <c:pt idx="299">
                  <c:v>78.970499999999987</c:v>
                </c:pt>
                <c:pt idx="300">
                  <c:v>78.970499999999987</c:v>
                </c:pt>
                <c:pt idx="301">
                  <c:v>78.970499999999987</c:v>
                </c:pt>
                <c:pt idx="302">
                  <c:v>78.970499999999987</c:v>
                </c:pt>
                <c:pt idx="303">
                  <c:v>78.970499999999987</c:v>
                </c:pt>
                <c:pt idx="304">
                  <c:v>78.970499999999987</c:v>
                </c:pt>
                <c:pt idx="305">
                  <c:v>78.970499999999987</c:v>
                </c:pt>
                <c:pt idx="306">
                  <c:v>78.970499999999987</c:v>
                </c:pt>
                <c:pt idx="307">
                  <c:v>78.970499999999987</c:v>
                </c:pt>
                <c:pt idx="308">
                  <c:v>78.970499999999987</c:v>
                </c:pt>
                <c:pt idx="309">
                  <c:v>78.970499999999987</c:v>
                </c:pt>
                <c:pt idx="310">
                  <c:v>78.970499999999987</c:v>
                </c:pt>
                <c:pt idx="311">
                  <c:v>78.970499999999987</c:v>
                </c:pt>
                <c:pt idx="312">
                  <c:v>78.970499999999987</c:v>
                </c:pt>
                <c:pt idx="313">
                  <c:v>78.970499999999987</c:v>
                </c:pt>
                <c:pt idx="314">
                  <c:v>78.970499999999987</c:v>
                </c:pt>
                <c:pt idx="315">
                  <c:v>78.970499999999987</c:v>
                </c:pt>
                <c:pt idx="316">
                  <c:v>78.970499999999987</c:v>
                </c:pt>
                <c:pt idx="317">
                  <c:v>78.970499999999987</c:v>
                </c:pt>
                <c:pt idx="318">
                  <c:v>78.970499999999987</c:v>
                </c:pt>
                <c:pt idx="319">
                  <c:v>78.970499999999987</c:v>
                </c:pt>
                <c:pt idx="320">
                  <c:v>78.970499999999987</c:v>
                </c:pt>
                <c:pt idx="321">
                  <c:v>78.970499999999987</c:v>
                </c:pt>
                <c:pt idx="322">
                  <c:v>78.970499999999987</c:v>
                </c:pt>
                <c:pt idx="323">
                  <c:v>78.970499999999987</c:v>
                </c:pt>
                <c:pt idx="324">
                  <c:v>78.970499999999987</c:v>
                </c:pt>
                <c:pt idx="325">
                  <c:v>78.970499999999987</c:v>
                </c:pt>
                <c:pt idx="326">
                  <c:v>78.970499999999987</c:v>
                </c:pt>
                <c:pt idx="327">
                  <c:v>78.970499999999987</c:v>
                </c:pt>
                <c:pt idx="328">
                  <c:v>78.970499999999987</c:v>
                </c:pt>
                <c:pt idx="329">
                  <c:v>78.970499999999987</c:v>
                </c:pt>
                <c:pt idx="330">
                  <c:v>78.970499999999987</c:v>
                </c:pt>
                <c:pt idx="331">
                  <c:v>78.970499999999987</c:v>
                </c:pt>
                <c:pt idx="332">
                  <c:v>78.970499999999987</c:v>
                </c:pt>
                <c:pt idx="333">
                  <c:v>78.970499999999987</c:v>
                </c:pt>
                <c:pt idx="334">
                  <c:v>78.970499999999987</c:v>
                </c:pt>
                <c:pt idx="335">
                  <c:v>78.970499999999987</c:v>
                </c:pt>
                <c:pt idx="336">
                  <c:v>78.970499999999987</c:v>
                </c:pt>
                <c:pt idx="337">
                  <c:v>78.970499999999987</c:v>
                </c:pt>
                <c:pt idx="338">
                  <c:v>78.970499999999987</c:v>
                </c:pt>
                <c:pt idx="339">
                  <c:v>78.970499999999987</c:v>
                </c:pt>
                <c:pt idx="340">
                  <c:v>78.970499999999987</c:v>
                </c:pt>
                <c:pt idx="341">
                  <c:v>78.970499999999987</c:v>
                </c:pt>
                <c:pt idx="342">
                  <c:v>78.970499999999987</c:v>
                </c:pt>
                <c:pt idx="343">
                  <c:v>78.970499999999987</c:v>
                </c:pt>
                <c:pt idx="344">
                  <c:v>78.970499999999987</c:v>
                </c:pt>
                <c:pt idx="345">
                  <c:v>78.970499999999987</c:v>
                </c:pt>
                <c:pt idx="346">
                  <c:v>78.970499999999987</c:v>
                </c:pt>
                <c:pt idx="347">
                  <c:v>78.970499999999987</c:v>
                </c:pt>
                <c:pt idx="348">
                  <c:v>78.970499999999987</c:v>
                </c:pt>
                <c:pt idx="349">
                  <c:v>78.970499999999987</c:v>
                </c:pt>
                <c:pt idx="350">
                  <c:v>78.970499999999987</c:v>
                </c:pt>
                <c:pt idx="351">
                  <c:v>78.970499999999987</c:v>
                </c:pt>
                <c:pt idx="352">
                  <c:v>78.970499999999987</c:v>
                </c:pt>
                <c:pt idx="353">
                  <c:v>78.970499999999987</c:v>
                </c:pt>
                <c:pt idx="354">
                  <c:v>78.970499999999987</c:v>
                </c:pt>
                <c:pt idx="355">
                  <c:v>78.970499999999987</c:v>
                </c:pt>
                <c:pt idx="356">
                  <c:v>78.970499999999987</c:v>
                </c:pt>
                <c:pt idx="357">
                  <c:v>78.970499999999987</c:v>
                </c:pt>
                <c:pt idx="358">
                  <c:v>78.970499999999987</c:v>
                </c:pt>
                <c:pt idx="359">
                  <c:v>78.970499999999987</c:v>
                </c:pt>
                <c:pt idx="360">
                  <c:v>78.970499999999987</c:v>
                </c:pt>
                <c:pt idx="361">
                  <c:v>78.970499999999987</c:v>
                </c:pt>
                <c:pt idx="362">
                  <c:v>78.970499999999987</c:v>
                </c:pt>
                <c:pt idx="363">
                  <c:v>78.970499999999987</c:v>
                </c:pt>
                <c:pt idx="364">
                  <c:v>78.970499999999987</c:v>
                </c:pt>
                <c:pt idx="365">
                  <c:v>78.970499999999987</c:v>
                </c:pt>
                <c:pt idx="366">
                  <c:v>78.970499999999987</c:v>
                </c:pt>
                <c:pt idx="367">
                  <c:v>78.970499999999987</c:v>
                </c:pt>
                <c:pt idx="368">
                  <c:v>78.970499999999987</c:v>
                </c:pt>
                <c:pt idx="369">
                  <c:v>78.970499999999987</c:v>
                </c:pt>
                <c:pt idx="370">
                  <c:v>78.970499999999987</c:v>
                </c:pt>
                <c:pt idx="371">
                  <c:v>78.970499999999987</c:v>
                </c:pt>
                <c:pt idx="372">
                  <c:v>78.970499999999987</c:v>
                </c:pt>
                <c:pt idx="373">
                  <c:v>78.970499999999987</c:v>
                </c:pt>
                <c:pt idx="374">
                  <c:v>78.970499999999987</c:v>
                </c:pt>
                <c:pt idx="375">
                  <c:v>78.970499999999987</c:v>
                </c:pt>
                <c:pt idx="376">
                  <c:v>78.970499999999987</c:v>
                </c:pt>
                <c:pt idx="377">
                  <c:v>78.970499999999987</c:v>
                </c:pt>
                <c:pt idx="378">
                  <c:v>78.970499999999987</c:v>
                </c:pt>
                <c:pt idx="379">
                  <c:v>78.970499999999987</c:v>
                </c:pt>
                <c:pt idx="380">
                  <c:v>78.970499999999987</c:v>
                </c:pt>
                <c:pt idx="381">
                  <c:v>78.970499999999987</c:v>
                </c:pt>
                <c:pt idx="382">
                  <c:v>78.970499999999987</c:v>
                </c:pt>
                <c:pt idx="383">
                  <c:v>78.970499999999987</c:v>
                </c:pt>
                <c:pt idx="384">
                  <c:v>78.970499999999987</c:v>
                </c:pt>
                <c:pt idx="385">
                  <c:v>78.970499999999987</c:v>
                </c:pt>
                <c:pt idx="386">
                  <c:v>78.970499999999987</c:v>
                </c:pt>
                <c:pt idx="387">
                  <c:v>78.970499999999987</c:v>
                </c:pt>
                <c:pt idx="388">
                  <c:v>78.970499999999987</c:v>
                </c:pt>
                <c:pt idx="389">
                  <c:v>78.970499999999987</c:v>
                </c:pt>
                <c:pt idx="390">
                  <c:v>78.970499999999987</c:v>
                </c:pt>
                <c:pt idx="391">
                  <c:v>78.970499999999987</c:v>
                </c:pt>
                <c:pt idx="392">
                  <c:v>78.970499999999987</c:v>
                </c:pt>
                <c:pt idx="393">
                  <c:v>78.970499999999987</c:v>
                </c:pt>
                <c:pt idx="394">
                  <c:v>78.970499999999987</c:v>
                </c:pt>
                <c:pt idx="395">
                  <c:v>78.970499999999987</c:v>
                </c:pt>
                <c:pt idx="396">
                  <c:v>78.970499999999987</c:v>
                </c:pt>
                <c:pt idx="397">
                  <c:v>78.970499999999987</c:v>
                </c:pt>
                <c:pt idx="398">
                  <c:v>78.970499999999987</c:v>
                </c:pt>
                <c:pt idx="399">
                  <c:v>78.970499999999987</c:v>
                </c:pt>
                <c:pt idx="400">
                  <c:v>78.970499999999987</c:v>
                </c:pt>
                <c:pt idx="401">
                  <c:v>78.970499999999987</c:v>
                </c:pt>
                <c:pt idx="402">
                  <c:v>78.970499999999987</c:v>
                </c:pt>
                <c:pt idx="403">
                  <c:v>78.970499999999987</c:v>
                </c:pt>
                <c:pt idx="404">
                  <c:v>78.970499999999987</c:v>
                </c:pt>
                <c:pt idx="405">
                  <c:v>78.970499999999987</c:v>
                </c:pt>
                <c:pt idx="406">
                  <c:v>78.970499999999987</c:v>
                </c:pt>
                <c:pt idx="407">
                  <c:v>78.970499999999987</c:v>
                </c:pt>
                <c:pt idx="408">
                  <c:v>78.970499999999987</c:v>
                </c:pt>
                <c:pt idx="409">
                  <c:v>78.970499999999987</c:v>
                </c:pt>
                <c:pt idx="410">
                  <c:v>78.970499999999987</c:v>
                </c:pt>
                <c:pt idx="411">
                  <c:v>78.970499999999987</c:v>
                </c:pt>
                <c:pt idx="412">
                  <c:v>78.970499999999987</c:v>
                </c:pt>
                <c:pt idx="413">
                  <c:v>78.970499999999987</c:v>
                </c:pt>
                <c:pt idx="414">
                  <c:v>78.970499999999987</c:v>
                </c:pt>
                <c:pt idx="415">
                  <c:v>78.970499999999987</c:v>
                </c:pt>
                <c:pt idx="416">
                  <c:v>78.970499999999987</c:v>
                </c:pt>
                <c:pt idx="417">
                  <c:v>78.970499999999987</c:v>
                </c:pt>
                <c:pt idx="418">
                  <c:v>78.970499999999987</c:v>
                </c:pt>
                <c:pt idx="419">
                  <c:v>78.970499999999987</c:v>
                </c:pt>
                <c:pt idx="420">
                  <c:v>78.970499999999987</c:v>
                </c:pt>
                <c:pt idx="421">
                  <c:v>78.970499999999987</c:v>
                </c:pt>
                <c:pt idx="422">
                  <c:v>78.970499999999987</c:v>
                </c:pt>
                <c:pt idx="423">
                  <c:v>78.970499999999987</c:v>
                </c:pt>
                <c:pt idx="424">
                  <c:v>78.970499999999987</c:v>
                </c:pt>
                <c:pt idx="425">
                  <c:v>78.970499999999987</c:v>
                </c:pt>
                <c:pt idx="426">
                  <c:v>78.970499999999987</c:v>
                </c:pt>
                <c:pt idx="427">
                  <c:v>78.970499999999987</c:v>
                </c:pt>
                <c:pt idx="428">
                  <c:v>78.970499999999987</c:v>
                </c:pt>
                <c:pt idx="429">
                  <c:v>78.970499999999987</c:v>
                </c:pt>
                <c:pt idx="430">
                  <c:v>78.970499999999987</c:v>
                </c:pt>
                <c:pt idx="431">
                  <c:v>78.970499999999987</c:v>
                </c:pt>
                <c:pt idx="432">
                  <c:v>78.970499999999987</c:v>
                </c:pt>
                <c:pt idx="433">
                  <c:v>78.970499999999987</c:v>
                </c:pt>
                <c:pt idx="434">
                  <c:v>78.970499999999987</c:v>
                </c:pt>
                <c:pt idx="435">
                  <c:v>78.970499999999987</c:v>
                </c:pt>
                <c:pt idx="436">
                  <c:v>78.970499999999987</c:v>
                </c:pt>
                <c:pt idx="437">
                  <c:v>78.970499999999987</c:v>
                </c:pt>
                <c:pt idx="438">
                  <c:v>78.970499999999987</c:v>
                </c:pt>
                <c:pt idx="439">
                  <c:v>78.970499999999987</c:v>
                </c:pt>
                <c:pt idx="440">
                  <c:v>78.970499999999987</c:v>
                </c:pt>
                <c:pt idx="441">
                  <c:v>78.970499999999987</c:v>
                </c:pt>
                <c:pt idx="442">
                  <c:v>78.970499999999987</c:v>
                </c:pt>
                <c:pt idx="443">
                  <c:v>78.970499999999987</c:v>
                </c:pt>
                <c:pt idx="444">
                  <c:v>78.970499999999987</c:v>
                </c:pt>
                <c:pt idx="445">
                  <c:v>78.970499999999987</c:v>
                </c:pt>
                <c:pt idx="446">
                  <c:v>78.970499999999987</c:v>
                </c:pt>
                <c:pt idx="447">
                  <c:v>78.970499999999987</c:v>
                </c:pt>
                <c:pt idx="448">
                  <c:v>78.970499999999987</c:v>
                </c:pt>
                <c:pt idx="449">
                  <c:v>78.970499999999987</c:v>
                </c:pt>
                <c:pt idx="450">
                  <c:v>78.970499999999987</c:v>
                </c:pt>
                <c:pt idx="451">
                  <c:v>78.970499999999987</c:v>
                </c:pt>
                <c:pt idx="452">
                  <c:v>78.970499999999987</c:v>
                </c:pt>
                <c:pt idx="453">
                  <c:v>78.970499999999987</c:v>
                </c:pt>
                <c:pt idx="454">
                  <c:v>78.970499999999987</c:v>
                </c:pt>
                <c:pt idx="455">
                  <c:v>78.970499999999987</c:v>
                </c:pt>
                <c:pt idx="456">
                  <c:v>78.970499999999987</c:v>
                </c:pt>
                <c:pt idx="457">
                  <c:v>78.970499999999987</c:v>
                </c:pt>
                <c:pt idx="458">
                  <c:v>78.970499999999987</c:v>
                </c:pt>
                <c:pt idx="459">
                  <c:v>78.970499999999987</c:v>
                </c:pt>
                <c:pt idx="460">
                  <c:v>78.970499999999987</c:v>
                </c:pt>
                <c:pt idx="461">
                  <c:v>78.970499999999987</c:v>
                </c:pt>
                <c:pt idx="462">
                  <c:v>78.970499999999987</c:v>
                </c:pt>
                <c:pt idx="463">
                  <c:v>78.970499999999987</c:v>
                </c:pt>
                <c:pt idx="464">
                  <c:v>78.970499999999987</c:v>
                </c:pt>
                <c:pt idx="465">
                  <c:v>78.970499999999987</c:v>
                </c:pt>
                <c:pt idx="466">
                  <c:v>78.970499999999987</c:v>
                </c:pt>
                <c:pt idx="467">
                  <c:v>78.970499999999987</c:v>
                </c:pt>
                <c:pt idx="468">
                  <c:v>78.970499999999987</c:v>
                </c:pt>
                <c:pt idx="469">
                  <c:v>78.970499999999987</c:v>
                </c:pt>
                <c:pt idx="470">
                  <c:v>78.970499999999987</c:v>
                </c:pt>
                <c:pt idx="471">
                  <c:v>78.970499999999987</c:v>
                </c:pt>
                <c:pt idx="472">
                  <c:v>78.970499999999987</c:v>
                </c:pt>
                <c:pt idx="473">
                  <c:v>78.970499999999987</c:v>
                </c:pt>
                <c:pt idx="474">
                  <c:v>78.970499999999987</c:v>
                </c:pt>
                <c:pt idx="475">
                  <c:v>78.970499999999987</c:v>
                </c:pt>
                <c:pt idx="476">
                  <c:v>78.970499999999987</c:v>
                </c:pt>
                <c:pt idx="477">
                  <c:v>78.970499999999987</c:v>
                </c:pt>
                <c:pt idx="478">
                  <c:v>78.970499999999987</c:v>
                </c:pt>
                <c:pt idx="479">
                  <c:v>78.970499999999987</c:v>
                </c:pt>
                <c:pt idx="480">
                  <c:v>78.970499999999987</c:v>
                </c:pt>
                <c:pt idx="481">
                  <c:v>78.970499999999987</c:v>
                </c:pt>
                <c:pt idx="482">
                  <c:v>78.970499999999987</c:v>
                </c:pt>
                <c:pt idx="483">
                  <c:v>78.970499999999987</c:v>
                </c:pt>
                <c:pt idx="484">
                  <c:v>78.970499999999987</c:v>
                </c:pt>
                <c:pt idx="485">
                  <c:v>78.970499999999987</c:v>
                </c:pt>
                <c:pt idx="486">
                  <c:v>78.970499999999987</c:v>
                </c:pt>
                <c:pt idx="487">
                  <c:v>78.970499999999987</c:v>
                </c:pt>
                <c:pt idx="488">
                  <c:v>78.970499999999987</c:v>
                </c:pt>
                <c:pt idx="489">
                  <c:v>78.970499999999987</c:v>
                </c:pt>
                <c:pt idx="490">
                  <c:v>78.970499999999987</c:v>
                </c:pt>
                <c:pt idx="491">
                  <c:v>78.970499999999987</c:v>
                </c:pt>
                <c:pt idx="492">
                  <c:v>78.970499999999987</c:v>
                </c:pt>
                <c:pt idx="493">
                  <c:v>78.970499999999987</c:v>
                </c:pt>
                <c:pt idx="494">
                  <c:v>78.970499999999987</c:v>
                </c:pt>
                <c:pt idx="495">
                  <c:v>78.970499999999987</c:v>
                </c:pt>
                <c:pt idx="496">
                  <c:v>78.970499999999987</c:v>
                </c:pt>
                <c:pt idx="497">
                  <c:v>78.970499999999987</c:v>
                </c:pt>
                <c:pt idx="498">
                  <c:v>78.970499999999987</c:v>
                </c:pt>
                <c:pt idx="499">
                  <c:v>78.970499999999987</c:v>
                </c:pt>
                <c:pt idx="500">
                  <c:v>78.970499999999987</c:v>
                </c:pt>
                <c:pt idx="501">
                  <c:v>78.970499999999987</c:v>
                </c:pt>
                <c:pt idx="502">
                  <c:v>78.970499999999987</c:v>
                </c:pt>
                <c:pt idx="503">
                  <c:v>78.970499999999987</c:v>
                </c:pt>
                <c:pt idx="504">
                  <c:v>78.970499999999987</c:v>
                </c:pt>
                <c:pt idx="505">
                  <c:v>78.970499999999987</c:v>
                </c:pt>
                <c:pt idx="506">
                  <c:v>78.970499999999987</c:v>
                </c:pt>
                <c:pt idx="507">
                  <c:v>78.970499999999987</c:v>
                </c:pt>
                <c:pt idx="508">
                  <c:v>78.970499999999987</c:v>
                </c:pt>
                <c:pt idx="509">
                  <c:v>78.970499999999987</c:v>
                </c:pt>
                <c:pt idx="510">
                  <c:v>78.970499999999987</c:v>
                </c:pt>
                <c:pt idx="511">
                  <c:v>78.970499999999987</c:v>
                </c:pt>
                <c:pt idx="512">
                  <c:v>78.970499999999987</c:v>
                </c:pt>
                <c:pt idx="513">
                  <c:v>78.970499999999987</c:v>
                </c:pt>
                <c:pt idx="514">
                  <c:v>78.970499999999987</c:v>
                </c:pt>
                <c:pt idx="515">
                  <c:v>78.970499999999987</c:v>
                </c:pt>
                <c:pt idx="516">
                  <c:v>78.970499999999987</c:v>
                </c:pt>
                <c:pt idx="517">
                  <c:v>78.970499999999987</c:v>
                </c:pt>
                <c:pt idx="518">
                  <c:v>78.970499999999987</c:v>
                </c:pt>
                <c:pt idx="519">
                  <c:v>78.970499999999987</c:v>
                </c:pt>
                <c:pt idx="520">
                  <c:v>78.970499999999987</c:v>
                </c:pt>
                <c:pt idx="521">
                  <c:v>78.970499999999987</c:v>
                </c:pt>
                <c:pt idx="522">
                  <c:v>78.970499999999987</c:v>
                </c:pt>
                <c:pt idx="523">
                  <c:v>78.970499999999987</c:v>
                </c:pt>
                <c:pt idx="524">
                  <c:v>78.970499999999987</c:v>
                </c:pt>
                <c:pt idx="525">
                  <c:v>78.970499999999987</c:v>
                </c:pt>
                <c:pt idx="526">
                  <c:v>78.970499999999987</c:v>
                </c:pt>
                <c:pt idx="527">
                  <c:v>78.970499999999987</c:v>
                </c:pt>
                <c:pt idx="528">
                  <c:v>78.970499999999987</c:v>
                </c:pt>
                <c:pt idx="529">
                  <c:v>78.970499999999987</c:v>
                </c:pt>
                <c:pt idx="530">
                  <c:v>78.970499999999987</c:v>
                </c:pt>
                <c:pt idx="531">
                  <c:v>78.970499999999987</c:v>
                </c:pt>
                <c:pt idx="532">
                  <c:v>78.970499999999987</c:v>
                </c:pt>
                <c:pt idx="533">
                  <c:v>78.970499999999987</c:v>
                </c:pt>
                <c:pt idx="534">
                  <c:v>78.970499999999987</c:v>
                </c:pt>
                <c:pt idx="535">
                  <c:v>78.970499999999987</c:v>
                </c:pt>
                <c:pt idx="536">
                  <c:v>78.970499999999987</c:v>
                </c:pt>
                <c:pt idx="537">
                  <c:v>78.970499999999987</c:v>
                </c:pt>
                <c:pt idx="538">
                  <c:v>78.970499999999987</c:v>
                </c:pt>
                <c:pt idx="539">
                  <c:v>78.970499999999987</c:v>
                </c:pt>
                <c:pt idx="540">
                  <c:v>78.970499999999987</c:v>
                </c:pt>
                <c:pt idx="541">
                  <c:v>78.970499999999987</c:v>
                </c:pt>
                <c:pt idx="542">
                  <c:v>78.970499999999987</c:v>
                </c:pt>
                <c:pt idx="543">
                  <c:v>78.970499999999987</c:v>
                </c:pt>
                <c:pt idx="544">
                  <c:v>78.970499999999987</c:v>
                </c:pt>
                <c:pt idx="545">
                  <c:v>78.970499999999987</c:v>
                </c:pt>
                <c:pt idx="546">
                  <c:v>78.970499999999987</c:v>
                </c:pt>
                <c:pt idx="547">
                  <c:v>78.970499999999987</c:v>
                </c:pt>
                <c:pt idx="548">
                  <c:v>78.970499999999987</c:v>
                </c:pt>
                <c:pt idx="549">
                  <c:v>78.970499999999987</c:v>
                </c:pt>
                <c:pt idx="550">
                  <c:v>78.970499999999987</c:v>
                </c:pt>
                <c:pt idx="551">
                  <c:v>78.970499999999987</c:v>
                </c:pt>
                <c:pt idx="552">
                  <c:v>78.970499999999987</c:v>
                </c:pt>
                <c:pt idx="553">
                  <c:v>78.970499999999987</c:v>
                </c:pt>
                <c:pt idx="554">
                  <c:v>78.970499999999987</c:v>
                </c:pt>
                <c:pt idx="555">
                  <c:v>78.970499999999987</c:v>
                </c:pt>
                <c:pt idx="556">
                  <c:v>78.970499999999987</c:v>
                </c:pt>
                <c:pt idx="557">
                  <c:v>78.970499999999987</c:v>
                </c:pt>
                <c:pt idx="558">
                  <c:v>78.970499999999987</c:v>
                </c:pt>
                <c:pt idx="559">
                  <c:v>78.970499999999987</c:v>
                </c:pt>
                <c:pt idx="560">
                  <c:v>78.970499999999987</c:v>
                </c:pt>
                <c:pt idx="561">
                  <c:v>78.970499999999987</c:v>
                </c:pt>
                <c:pt idx="562">
                  <c:v>78.970499999999987</c:v>
                </c:pt>
                <c:pt idx="563">
                  <c:v>78.970499999999987</c:v>
                </c:pt>
                <c:pt idx="564">
                  <c:v>78.970499999999987</c:v>
                </c:pt>
                <c:pt idx="565">
                  <c:v>78.970499999999987</c:v>
                </c:pt>
                <c:pt idx="566">
                  <c:v>78.970499999999987</c:v>
                </c:pt>
                <c:pt idx="567">
                  <c:v>78.970499999999987</c:v>
                </c:pt>
                <c:pt idx="568">
                  <c:v>78.970499999999987</c:v>
                </c:pt>
                <c:pt idx="569">
                  <c:v>78.970499999999987</c:v>
                </c:pt>
                <c:pt idx="570">
                  <c:v>78.970499999999987</c:v>
                </c:pt>
                <c:pt idx="571">
                  <c:v>78.970499999999987</c:v>
                </c:pt>
                <c:pt idx="572">
                  <c:v>78.970499999999987</c:v>
                </c:pt>
                <c:pt idx="573">
                  <c:v>78.970499999999987</c:v>
                </c:pt>
                <c:pt idx="574">
                  <c:v>78.970499999999987</c:v>
                </c:pt>
                <c:pt idx="575">
                  <c:v>78.970499999999987</c:v>
                </c:pt>
                <c:pt idx="576">
                  <c:v>78.970499999999987</c:v>
                </c:pt>
                <c:pt idx="577">
                  <c:v>78.970499999999987</c:v>
                </c:pt>
                <c:pt idx="578">
                  <c:v>78.970499999999987</c:v>
                </c:pt>
                <c:pt idx="579">
                  <c:v>78.970499999999987</c:v>
                </c:pt>
                <c:pt idx="580">
                  <c:v>78.970499999999987</c:v>
                </c:pt>
                <c:pt idx="581">
                  <c:v>78.970499999999987</c:v>
                </c:pt>
                <c:pt idx="582">
                  <c:v>78.970499999999987</c:v>
                </c:pt>
                <c:pt idx="583">
                  <c:v>78.970499999999987</c:v>
                </c:pt>
                <c:pt idx="584">
                  <c:v>78.970499999999987</c:v>
                </c:pt>
                <c:pt idx="585">
                  <c:v>78.970499999999987</c:v>
                </c:pt>
                <c:pt idx="586">
                  <c:v>78.970499999999987</c:v>
                </c:pt>
                <c:pt idx="587">
                  <c:v>78.970499999999987</c:v>
                </c:pt>
                <c:pt idx="588">
                  <c:v>78.970499999999987</c:v>
                </c:pt>
                <c:pt idx="589">
                  <c:v>78.970499999999987</c:v>
                </c:pt>
                <c:pt idx="590">
                  <c:v>78.970499999999987</c:v>
                </c:pt>
                <c:pt idx="591">
                  <c:v>78.970499999999987</c:v>
                </c:pt>
                <c:pt idx="592">
                  <c:v>78.970499999999987</c:v>
                </c:pt>
                <c:pt idx="593">
                  <c:v>78.970499999999987</c:v>
                </c:pt>
                <c:pt idx="594">
                  <c:v>78.970499999999987</c:v>
                </c:pt>
                <c:pt idx="595">
                  <c:v>78.970499999999987</c:v>
                </c:pt>
                <c:pt idx="596">
                  <c:v>78.970499999999987</c:v>
                </c:pt>
                <c:pt idx="597">
                  <c:v>78.970499999999987</c:v>
                </c:pt>
                <c:pt idx="598">
                  <c:v>78.970499999999987</c:v>
                </c:pt>
                <c:pt idx="599">
                  <c:v>78.970499999999987</c:v>
                </c:pt>
                <c:pt idx="600">
                  <c:v>78.970499999999987</c:v>
                </c:pt>
                <c:pt idx="601">
                  <c:v>78.970499999999987</c:v>
                </c:pt>
                <c:pt idx="602">
                  <c:v>78.970499999999987</c:v>
                </c:pt>
                <c:pt idx="603">
                  <c:v>78.970499999999987</c:v>
                </c:pt>
                <c:pt idx="604">
                  <c:v>78.970499999999987</c:v>
                </c:pt>
                <c:pt idx="605">
                  <c:v>78.970499999999987</c:v>
                </c:pt>
                <c:pt idx="606">
                  <c:v>78.970499999999987</c:v>
                </c:pt>
                <c:pt idx="607">
                  <c:v>78.970499999999987</c:v>
                </c:pt>
                <c:pt idx="608">
                  <c:v>78.970499999999987</c:v>
                </c:pt>
                <c:pt idx="609">
                  <c:v>78.970499999999987</c:v>
                </c:pt>
                <c:pt idx="610">
                  <c:v>78.970499999999987</c:v>
                </c:pt>
                <c:pt idx="611">
                  <c:v>78.970499999999987</c:v>
                </c:pt>
                <c:pt idx="612">
                  <c:v>78.970499999999987</c:v>
                </c:pt>
                <c:pt idx="613">
                  <c:v>78.970499999999987</c:v>
                </c:pt>
                <c:pt idx="614">
                  <c:v>78.970499999999987</c:v>
                </c:pt>
                <c:pt idx="615">
                  <c:v>78.970499999999987</c:v>
                </c:pt>
                <c:pt idx="616">
                  <c:v>78.970499999999987</c:v>
                </c:pt>
                <c:pt idx="617">
                  <c:v>78.970499999999987</c:v>
                </c:pt>
                <c:pt idx="618">
                  <c:v>78.970499999999987</c:v>
                </c:pt>
                <c:pt idx="619">
                  <c:v>78.970499999999987</c:v>
                </c:pt>
                <c:pt idx="620">
                  <c:v>78.970499999999987</c:v>
                </c:pt>
                <c:pt idx="621">
                  <c:v>78.970499999999987</c:v>
                </c:pt>
                <c:pt idx="622">
                  <c:v>78.970499999999987</c:v>
                </c:pt>
                <c:pt idx="623">
                  <c:v>78.970499999999987</c:v>
                </c:pt>
                <c:pt idx="624">
                  <c:v>78.970499999999987</c:v>
                </c:pt>
                <c:pt idx="625">
                  <c:v>78.970499999999987</c:v>
                </c:pt>
                <c:pt idx="626">
                  <c:v>78.970499999999987</c:v>
                </c:pt>
                <c:pt idx="627">
                  <c:v>78.970499999999987</c:v>
                </c:pt>
                <c:pt idx="628">
                  <c:v>78.970499999999987</c:v>
                </c:pt>
                <c:pt idx="629">
                  <c:v>78.970499999999987</c:v>
                </c:pt>
                <c:pt idx="630">
                  <c:v>78.970499999999987</c:v>
                </c:pt>
                <c:pt idx="631">
                  <c:v>78.970499999999987</c:v>
                </c:pt>
                <c:pt idx="632">
                  <c:v>78.970499999999987</c:v>
                </c:pt>
                <c:pt idx="633">
                  <c:v>78.970499999999987</c:v>
                </c:pt>
                <c:pt idx="634">
                  <c:v>78.970499999999987</c:v>
                </c:pt>
                <c:pt idx="635">
                  <c:v>78.970499999999987</c:v>
                </c:pt>
                <c:pt idx="636">
                  <c:v>78.970499999999987</c:v>
                </c:pt>
                <c:pt idx="637">
                  <c:v>78.970499999999987</c:v>
                </c:pt>
                <c:pt idx="638">
                  <c:v>78.970499999999987</c:v>
                </c:pt>
                <c:pt idx="639">
                  <c:v>78.970499999999987</c:v>
                </c:pt>
                <c:pt idx="640">
                  <c:v>78.970499999999987</c:v>
                </c:pt>
                <c:pt idx="641">
                  <c:v>78.970499999999987</c:v>
                </c:pt>
                <c:pt idx="642">
                  <c:v>78.970499999999987</c:v>
                </c:pt>
                <c:pt idx="643">
                  <c:v>78.970499999999987</c:v>
                </c:pt>
                <c:pt idx="644">
                  <c:v>78.970499999999987</c:v>
                </c:pt>
                <c:pt idx="645">
                  <c:v>78.970499999999987</c:v>
                </c:pt>
                <c:pt idx="646">
                  <c:v>78.970499999999987</c:v>
                </c:pt>
                <c:pt idx="647">
                  <c:v>78.970499999999987</c:v>
                </c:pt>
                <c:pt idx="648">
                  <c:v>78.970499999999987</c:v>
                </c:pt>
                <c:pt idx="649">
                  <c:v>78.970499999999987</c:v>
                </c:pt>
                <c:pt idx="650">
                  <c:v>78.970499999999987</c:v>
                </c:pt>
                <c:pt idx="651">
                  <c:v>78.970499999999987</c:v>
                </c:pt>
                <c:pt idx="652">
                  <c:v>78.970499999999987</c:v>
                </c:pt>
                <c:pt idx="653">
                  <c:v>78.970499999999987</c:v>
                </c:pt>
                <c:pt idx="654">
                  <c:v>78.970499999999987</c:v>
                </c:pt>
                <c:pt idx="655">
                  <c:v>78.970499999999987</c:v>
                </c:pt>
                <c:pt idx="656">
                  <c:v>78.970499999999987</c:v>
                </c:pt>
                <c:pt idx="657">
                  <c:v>78.970499999999987</c:v>
                </c:pt>
                <c:pt idx="658">
                  <c:v>78.970499999999987</c:v>
                </c:pt>
                <c:pt idx="659">
                  <c:v>78.970499999999987</c:v>
                </c:pt>
                <c:pt idx="660">
                  <c:v>78.970499999999987</c:v>
                </c:pt>
                <c:pt idx="661">
                  <c:v>78.970499999999987</c:v>
                </c:pt>
                <c:pt idx="662">
                  <c:v>78.970499999999987</c:v>
                </c:pt>
                <c:pt idx="663">
                  <c:v>78.970499999999987</c:v>
                </c:pt>
                <c:pt idx="664">
                  <c:v>78.970499999999987</c:v>
                </c:pt>
                <c:pt idx="665">
                  <c:v>78.970499999999987</c:v>
                </c:pt>
                <c:pt idx="666">
                  <c:v>78.970499999999987</c:v>
                </c:pt>
                <c:pt idx="667">
                  <c:v>78.970499999999987</c:v>
                </c:pt>
                <c:pt idx="668">
                  <c:v>78.970499999999987</c:v>
                </c:pt>
                <c:pt idx="669">
                  <c:v>78.970499999999987</c:v>
                </c:pt>
                <c:pt idx="670">
                  <c:v>78.970499999999987</c:v>
                </c:pt>
                <c:pt idx="671">
                  <c:v>78.970499999999987</c:v>
                </c:pt>
                <c:pt idx="672">
                  <c:v>78.970499999999987</c:v>
                </c:pt>
                <c:pt idx="673">
                  <c:v>78.970499999999987</c:v>
                </c:pt>
                <c:pt idx="674">
                  <c:v>78.970499999999987</c:v>
                </c:pt>
                <c:pt idx="675">
                  <c:v>78.970499999999987</c:v>
                </c:pt>
                <c:pt idx="676">
                  <c:v>78.970499999999987</c:v>
                </c:pt>
                <c:pt idx="677">
                  <c:v>78.970499999999987</c:v>
                </c:pt>
                <c:pt idx="678">
                  <c:v>78.970499999999987</c:v>
                </c:pt>
                <c:pt idx="679">
                  <c:v>78.970499999999987</c:v>
                </c:pt>
                <c:pt idx="680">
                  <c:v>78.970499999999987</c:v>
                </c:pt>
                <c:pt idx="681">
                  <c:v>78.970499999999987</c:v>
                </c:pt>
                <c:pt idx="682">
                  <c:v>78.970499999999987</c:v>
                </c:pt>
                <c:pt idx="683">
                  <c:v>78.970499999999987</c:v>
                </c:pt>
                <c:pt idx="684">
                  <c:v>78.970499999999987</c:v>
                </c:pt>
                <c:pt idx="685">
                  <c:v>78.970499999999987</c:v>
                </c:pt>
                <c:pt idx="686">
                  <c:v>78.970499999999987</c:v>
                </c:pt>
                <c:pt idx="687">
                  <c:v>78.970499999999987</c:v>
                </c:pt>
                <c:pt idx="688">
                  <c:v>78.970499999999987</c:v>
                </c:pt>
                <c:pt idx="689">
                  <c:v>78.970499999999987</c:v>
                </c:pt>
                <c:pt idx="690">
                  <c:v>78.970499999999987</c:v>
                </c:pt>
                <c:pt idx="691">
                  <c:v>78.970499999999987</c:v>
                </c:pt>
                <c:pt idx="692">
                  <c:v>78.970499999999987</c:v>
                </c:pt>
                <c:pt idx="693">
                  <c:v>78.970499999999987</c:v>
                </c:pt>
                <c:pt idx="694">
                  <c:v>78.970499999999987</c:v>
                </c:pt>
                <c:pt idx="695">
                  <c:v>78.970499999999987</c:v>
                </c:pt>
                <c:pt idx="696">
                  <c:v>78.970499999999987</c:v>
                </c:pt>
                <c:pt idx="697">
                  <c:v>78.970499999999987</c:v>
                </c:pt>
                <c:pt idx="698">
                  <c:v>78.970499999999987</c:v>
                </c:pt>
                <c:pt idx="699">
                  <c:v>78.970499999999987</c:v>
                </c:pt>
                <c:pt idx="700">
                  <c:v>78.970499999999987</c:v>
                </c:pt>
                <c:pt idx="701">
                  <c:v>78.970499999999987</c:v>
                </c:pt>
                <c:pt idx="702">
                  <c:v>78.970499999999987</c:v>
                </c:pt>
                <c:pt idx="703">
                  <c:v>78.970499999999987</c:v>
                </c:pt>
                <c:pt idx="704">
                  <c:v>78.970499999999987</c:v>
                </c:pt>
                <c:pt idx="705">
                  <c:v>78.970499999999987</c:v>
                </c:pt>
                <c:pt idx="706">
                  <c:v>78.970499999999987</c:v>
                </c:pt>
                <c:pt idx="707">
                  <c:v>78.970499999999987</c:v>
                </c:pt>
                <c:pt idx="708">
                  <c:v>78.970499999999987</c:v>
                </c:pt>
                <c:pt idx="709">
                  <c:v>78.970499999999987</c:v>
                </c:pt>
                <c:pt idx="710">
                  <c:v>78.970499999999987</c:v>
                </c:pt>
                <c:pt idx="711">
                  <c:v>78.970499999999987</c:v>
                </c:pt>
                <c:pt idx="712">
                  <c:v>78.970499999999987</c:v>
                </c:pt>
                <c:pt idx="713">
                  <c:v>78.970499999999987</c:v>
                </c:pt>
                <c:pt idx="714">
                  <c:v>78.970499999999987</c:v>
                </c:pt>
                <c:pt idx="715">
                  <c:v>78.970499999999987</c:v>
                </c:pt>
                <c:pt idx="716">
                  <c:v>78.970499999999987</c:v>
                </c:pt>
                <c:pt idx="717">
                  <c:v>78.970499999999987</c:v>
                </c:pt>
                <c:pt idx="718">
                  <c:v>78.970499999999987</c:v>
                </c:pt>
                <c:pt idx="719">
                  <c:v>78.970499999999987</c:v>
                </c:pt>
                <c:pt idx="720">
                  <c:v>78.970499999999987</c:v>
                </c:pt>
                <c:pt idx="721">
                  <c:v>78.970499999999987</c:v>
                </c:pt>
                <c:pt idx="722">
                  <c:v>78.970499999999987</c:v>
                </c:pt>
                <c:pt idx="723">
                  <c:v>78.970499999999987</c:v>
                </c:pt>
                <c:pt idx="724">
                  <c:v>78.970499999999987</c:v>
                </c:pt>
                <c:pt idx="725">
                  <c:v>78.970499999999987</c:v>
                </c:pt>
                <c:pt idx="726">
                  <c:v>78.970499999999987</c:v>
                </c:pt>
                <c:pt idx="727">
                  <c:v>78.970499999999987</c:v>
                </c:pt>
                <c:pt idx="728">
                  <c:v>78.970499999999987</c:v>
                </c:pt>
                <c:pt idx="729">
                  <c:v>78.970499999999987</c:v>
                </c:pt>
                <c:pt idx="730">
                  <c:v>78.970499999999987</c:v>
                </c:pt>
                <c:pt idx="731">
                  <c:v>78.970499999999987</c:v>
                </c:pt>
                <c:pt idx="732">
                  <c:v>78.970499999999987</c:v>
                </c:pt>
                <c:pt idx="733">
                  <c:v>78.970499999999987</c:v>
                </c:pt>
                <c:pt idx="734">
                  <c:v>78.970499999999987</c:v>
                </c:pt>
                <c:pt idx="735">
                  <c:v>78.970499999999987</c:v>
                </c:pt>
                <c:pt idx="736">
                  <c:v>78.970499999999987</c:v>
                </c:pt>
                <c:pt idx="737">
                  <c:v>78.970499999999987</c:v>
                </c:pt>
                <c:pt idx="738">
                  <c:v>78.970499999999987</c:v>
                </c:pt>
                <c:pt idx="739">
                  <c:v>78.970499999999987</c:v>
                </c:pt>
                <c:pt idx="740">
                  <c:v>78.970499999999987</c:v>
                </c:pt>
                <c:pt idx="741">
                  <c:v>78.970499999999987</c:v>
                </c:pt>
                <c:pt idx="742">
                  <c:v>78.970499999999987</c:v>
                </c:pt>
                <c:pt idx="743">
                  <c:v>78.970499999999987</c:v>
                </c:pt>
                <c:pt idx="744">
                  <c:v>78.970499999999987</c:v>
                </c:pt>
                <c:pt idx="745">
                  <c:v>78.970499999999987</c:v>
                </c:pt>
                <c:pt idx="746">
                  <c:v>78.970499999999987</c:v>
                </c:pt>
                <c:pt idx="747">
                  <c:v>78.970499999999987</c:v>
                </c:pt>
                <c:pt idx="748">
                  <c:v>78.970499999999987</c:v>
                </c:pt>
                <c:pt idx="749">
                  <c:v>78.970499999999987</c:v>
                </c:pt>
                <c:pt idx="750">
                  <c:v>78.970499999999987</c:v>
                </c:pt>
                <c:pt idx="751">
                  <c:v>78.970499999999987</c:v>
                </c:pt>
                <c:pt idx="752">
                  <c:v>78.970499999999987</c:v>
                </c:pt>
                <c:pt idx="753">
                  <c:v>78.970499999999987</c:v>
                </c:pt>
                <c:pt idx="754">
                  <c:v>78.970499999999987</c:v>
                </c:pt>
                <c:pt idx="755">
                  <c:v>78.970499999999987</c:v>
                </c:pt>
                <c:pt idx="756">
                  <c:v>78.970499999999987</c:v>
                </c:pt>
                <c:pt idx="757">
                  <c:v>78.970499999999987</c:v>
                </c:pt>
                <c:pt idx="758">
                  <c:v>78.970499999999987</c:v>
                </c:pt>
                <c:pt idx="759">
                  <c:v>78.970499999999987</c:v>
                </c:pt>
                <c:pt idx="760">
                  <c:v>78.970499999999987</c:v>
                </c:pt>
                <c:pt idx="761">
                  <c:v>78.970499999999987</c:v>
                </c:pt>
                <c:pt idx="762">
                  <c:v>78.970499999999987</c:v>
                </c:pt>
                <c:pt idx="763">
                  <c:v>78.970499999999987</c:v>
                </c:pt>
                <c:pt idx="764">
                  <c:v>78.970499999999987</c:v>
                </c:pt>
                <c:pt idx="765">
                  <c:v>78.970499999999987</c:v>
                </c:pt>
                <c:pt idx="766">
                  <c:v>78.970499999999987</c:v>
                </c:pt>
                <c:pt idx="767">
                  <c:v>78.970499999999987</c:v>
                </c:pt>
                <c:pt idx="768">
                  <c:v>78.970499999999987</c:v>
                </c:pt>
                <c:pt idx="769">
                  <c:v>78.970499999999987</c:v>
                </c:pt>
                <c:pt idx="770">
                  <c:v>78.970499999999987</c:v>
                </c:pt>
                <c:pt idx="771">
                  <c:v>78.970499999999987</c:v>
                </c:pt>
                <c:pt idx="772">
                  <c:v>78.970499999999987</c:v>
                </c:pt>
                <c:pt idx="773">
                  <c:v>78.970499999999987</c:v>
                </c:pt>
                <c:pt idx="774">
                  <c:v>78.970499999999987</c:v>
                </c:pt>
                <c:pt idx="775">
                  <c:v>78.970499999999987</c:v>
                </c:pt>
                <c:pt idx="776">
                  <c:v>78.970499999999987</c:v>
                </c:pt>
                <c:pt idx="777">
                  <c:v>78.970499999999987</c:v>
                </c:pt>
                <c:pt idx="778">
                  <c:v>78.970499999999987</c:v>
                </c:pt>
                <c:pt idx="779">
                  <c:v>78.970499999999987</c:v>
                </c:pt>
                <c:pt idx="780">
                  <c:v>78.970499999999987</c:v>
                </c:pt>
                <c:pt idx="781">
                  <c:v>78.970499999999987</c:v>
                </c:pt>
                <c:pt idx="782">
                  <c:v>78.970499999999987</c:v>
                </c:pt>
                <c:pt idx="783">
                  <c:v>78.970499999999987</c:v>
                </c:pt>
                <c:pt idx="784">
                  <c:v>78.970499999999987</c:v>
                </c:pt>
                <c:pt idx="785">
                  <c:v>78.970499999999987</c:v>
                </c:pt>
                <c:pt idx="786">
                  <c:v>78.970499999999987</c:v>
                </c:pt>
                <c:pt idx="787">
                  <c:v>78.970499999999987</c:v>
                </c:pt>
                <c:pt idx="788">
                  <c:v>78.970499999999987</c:v>
                </c:pt>
                <c:pt idx="789">
                  <c:v>78.970499999999987</c:v>
                </c:pt>
                <c:pt idx="790">
                  <c:v>78.970499999999987</c:v>
                </c:pt>
                <c:pt idx="791">
                  <c:v>78.970499999999987</c:v>
                </c:pt>
                <c:pt idx="792">
                  <c:v>78.970499999999987</c:v>
                </c:pt>
                <c:pt idx="793">
                  <c:v>78.970499999999987</c:v>
                </c:pt>
                <c:pt idx="794">
                  <c:v>78.970499999999987</c:v>
                </c:pt>
                <c:pt idx="795">
                  <c:v>78.970499999999987</c:v>
                </c:pt>
                <c:pt idx="796">
                  <c:v>78.970499999999987</c:v>
                </c:pt>
                <c:pt idx="797">
                  <c:v>78.970499999999987</c:v>
                </c:pt>
                <c:pt idx="798">
                  <c:v>78.970499999999987</c:v>
                </c:pt>
                <c:pt idx="799">
                  <c:v>78.970499999999987</c:v>
                </c:pt>
                <c:pt idx="800">
                  <c:v>78.970499999999987</c:v>
                </c:pt>
                <c:pt idx="801">
                  <c:v>78.970499999999987</c:v>
                </c:pt>
                <c:pt idx="802">
                  <c:v>78.970499999999987</c:v>
                </c:pt>
                <c:pt idx="803">
                  <c:v>78.970499999999987</c:v>
                </c:pt>
                <c:pt idx="804">
                  <c:v>78.970499999999987</c:v>
                </c:pt>
                <c:pt idx="805">
                  <c:v>78.970499999999987</c:v>
                </c:pt>
                <c:pt idx="806">
                  <c:v>78.970499999999987</c:v>
                </c:pt>
                <c:pt idx="807">
                  <c:v>78.970499999999987</c:v>
                </c:pt>
                <c:pt idx="808">
                  <c:v>78.970499999999987</c:v>
                </c:pt>
                <c:pt idx="809">
                  <c:v>78.970499999999987</c:v>
                </c:pt>
                <c:pt idx="810">
                  <c:v>78.970499999999987</c:v>
                </c:pt>
                <c:pt idx="811">
                  <c:v>78.970499999999987</c:v>
                </c:pt>
                <c:pt idx="812">
                  <c:v>78.970499999999987</c:v>
                </c:pt>
                <c:pt idx="813">
                  <c:v>78.970499999999987</c:v>
                </c:pt>
                <c:pt idx="814">
                  <c:v>78.970499999999987</c:v>
                </c:pt>
                <c:pt idx="815">
                  <c:v>78.970499999999987</c:v>
                </c:pt>
                <c:pt idx="816">
                  <c:v>78.970499999999987</c:v>
                </c:pt>
                <c:pt idx="817">
                  <c:v>78.970499999999987</c:v>
                </c:pt>
                <c:pt idx="818">
                  <c:v>78.970499999999987</c:v>
                </c:pt>
                <c:pt idx="819">
                  <c:v>78.970499999999987</c:v>
                </c:pt>
                <c:pt idx="820">
                  <c:v>78.970499999999987</c:v>
                </c:pt>
                <c:pt idx="821">
                  <c:v>78.970499999999987</c:v>
                </c:pt>
                <c:pt idx="822">
                  <c:v>78.970499999999987</c:v>
                </c:pt>
                <c:pt idx="823">
                  <c:v>78.970499999999987</c:v>
                </c:pt>
                <c:pt idx="824">
                  <c:v>78.970499999999987</c:v>
                </c:pt>
                <c:pt idx="825">
                  <c:v>78.970499999999987</c:v>
                </c:pt>
                <c:pt idx="826">
                  <c:v>78.970499999999987</c:v>
                </c:pt>
                <c:pt idx="827">
                  <c:v>78.970499999999987</c:v>
                </c:pt>
                <c:pt idx="828">
                  <c:v>78.970499999999987</c:v>
                </c:pt>
                <c:pt idx="829">
                  <c:v>78.970499999999987</c:v>
                </c:pt>
                <c:pt idx="830">
                  <c:v>78.970499999999987</c:v>
                </c:pt>
                <c:pt idx="831">
                  <c:v>78.970499999999987</c:v>
                </c:pt>
                <c:pt idx="832">
                  <c:v>78.970499999999987</c:v>
                </c:pt>
                <c:pt idx="833">
                  <c:v>78.970499999999987</c:v>
                </c:pt>
                <c:pt idx="834">
                  <c:v>78.970499999999987</c:v>
                </c:pt>
                <c:pt idx="835">
                  <c:v>78.970499999999987</c:v>
                </c:pt>
                <c:pt idx="836">
                  <c:v>78.970499999999987</c:v>
                </c:pt>
                <c:pt idx="837">
                  <c:v>78.970499999999987</c:v>
                </c:pt>
                <c:pt idx="838">
                  <c:v>78.970499999999987</c:v>
                </c:pt>
                <c:pt idx="839">
                  <c:v>78.970499999999987</c:v>
                </c:pt>
                <c:pt idx="840">
                  <c:v>78.970499999999987</c:v>
                </c:pt>
                <c:pt idx="841">
                  <c:v>78.970499999999987</c:v>
                </c:pt>
                <c:pt idx="842">
                  <c:v>78.970499999999987</c:v>
                </c:pt>
                <c:pt idx="843">
                  <c:v>78.970499999999987</c:v>
                </c:pt>
                <c:pt idx="844">
                  <c:v>78.970499999999987</c:v>
                </c:pt>
                <c:pt idx="845">
                  <c:v>78.970499999999987</c:v>
                </c:pt>
                <c:pt idx="846">
                  <c:v>78.970499999999987</c:v>
                </c:pt>
                <c:pt idx="847">
                  <c:v>78.970499999999987</c:v>
                </c:pt>
                <c:pt idx="848">
                  <c:v>78.970499999999987</c:v>
                </c:pt>
                <c:pt idx="849">
                  <c:v>78.970499999999987</c:v>
                </c:pt>
                <c:pt idx="850">
                  <c:v>78.970499999999987</c:v>
                </c:pt>
                <c:pt idx="851">
                  <c:v>78.970499999999987</c:v>
                </c:pt>
                <c:pt idx="852">
                  <c:v>78.970499999999987</c:v>
                </c:pt>
                <c:pt idx="853">
                  <c:v>78.970499999999987</c:v>
                </c:pt>
                <c:pt idx="854">
                  <c:v>78.970499999999987</c:v>
                </c:pt>
                <c:pt idx="855">
                  <c:v>78.970499999999987</c:v>
                </c:pt>
                <c:pt idx="856">
                  <c:v>78.970499999999987</c:v>
                </c:pt>
                <c:pt idx="857">
                  <c:v>78.970499999999987</c:v>
                </c:pt>
                <c:pt idx="858">
                  <c:v>78.970499999999987</c:v>
                </c:pt>
                <c:pt idx="859">
                  <c:v>78.970499999999987</c:v>
                </c:pt>
                <c:pt idx="860">
                  <c:v>78.970499999999987</c:v>
                </c:pt>
                <c:pt idx="861">
                  <c:v>78.970499999999987</c:v>
                </c:pt>
                <c:pt idx="862">
                  <c:v>78.970499999999987</c:v>
                </c:pt>
                <c:pt idx="863">
                  <c:v>78.970499999999987</c:v>
                </c:pt>
                <c:pt idx="864">
                  <c:v>78.970499999999987</c:v>
                </c:pt>
                <c:pt idx="865">
                  <c:v>78.970499999999987</c:v>
                </c:pt>
                <c:pt idx="866">
                  <c:v>78.970499999999987</c:v>
                </c:pt>
                <c:pt idx="867">
                  <c:v>78.970499999999987</c:v>
                </c:pt>
                <c:pt idx="868">
                  <c:v>78.970499999999987</c:v>
                </c:pt>
                <c:pt idx="869">
                  <c:v>78.970499999999987</c:v>
                </c:pt>
                <c:pt idx="870">
                  <c:v>78.970499999999987</c:v>
                </c:pt>
                <c:pt idx="871">
                  <c:v>78.970499999999987</c:v>
                </c:pt>
                <c:pt idx="872">
                  <c:v>78.970499999999987</c:v>
                </c:pt>
                <c:pt idx="873">
                  <c:v>78.970499999999987</c:v>
                </c:pt>
                <c:pt idx="874">
                  <c:v>78.970499999999987</c:v>
                </c:pt>
                <c:pt idx="875">
                  <c:v>78.970499999999987</c:v>
                </c:pt>
                <c:pt idx="876">
                  <c:v>78.970499999999987</c:v>
                </c:pt>
                <c:pt idx="877">
                  <c:v>78.970499999999987</c:v>
                </c:pt>
                <c:pt idx="878">
                  <c:v>78.970499999999987</c:v>
                </c:pt>
                <c:pt idx="879">
                  <c:v>78.970499999999987</c:v>
                </c:pt>
                <c:pt idx="880">
                  <c:v>78.970499999999987</c:v>
                </c:pt>
                <c:pt idx="881">
                  <c:v>78.970499999999987</c:v>
                </c:pt>
                <c:pt idx="882">
                  <c:v>78.970499999999987</c:v>
                </c:pt>
                <c:pt idx="883">
                  <c:v>78.970499999999987</c:v>
                </c:pt>
                <c:pt idx="884">
                  <c:v>78.970499999999987</c:v>
                </c:pt>
                <c:pt idx="885">
                  <c:v>78.970499999999987</c:v>
                </c:pt>
                <c:pt idx="886">
                  <c:v>78.970499999999987</c:v>
                </c:pt>
                <c:pt idx="887">
                  <c:v>78.970499999999987</c:v>
                </c:pt>
                <c:pt idx="888">
                  <c:v>78.970499999999987</c:v>
                </c:pt>
                <c:pt idx="889">
                  <c:v>78.970499999999987</c:v>
                </c:pt>
                <c:pt idx="890">
                  <c:v>78.970499999999987</c:v>
                </c:pt>
                <c:pt idx="891">
                  <c:v>78.970499999999987</c:v>
                </c:pt>
                <c:pt idx="892">
                  <c:v>78.970499999999987</c:v>
                </c:pt>
                <c:pt idx="893">
                  <c:v>78.970499999999987</c:v>
                </c:pt>
                <c:pt idx="894">
                  <c:v>78.970499999999987</c:v>
                </c:pt>
                <c:pt idx="895">
                  <c:v>78.970499999999987</c:v>
                </c:pt>
                <c:pt idx="896">
                  <c:v>78.970499999999987</c:v>
                </c:pt>
                <c:pt idx="897">
                  <c:v>78.970499999999987</c:v>
                </c:pt>
                <c:pt idx="898">
                  <c:v>78.970499999999987</c:v>
                </c:pt>
                <c:pt idx="899">
                  <c:v>78.970499999999987</c:v>
                </c:pt>
                <c:pt idx="900">
                  <c:v>78.970499999999987</c:v>
                </c:pt>
                <c:pt idx="901">
                  <c:v>78.970499999999987</c:v>
                </c:pt>
                <c:pt idx="902">
                  <c:v>78.970499999999987</c:v>
                </c:pt>
                <c:pt idx="903">
                  <c:v>78.970499999999987</c:v>
                </c:pt>
                <c:pt idx="904">
                  <c:v>78.970499999999987</c:v>
                </c:pt>
                <c:pt idx="905">
                  <c:v>78.970499999999987</c:v>
                </c:pt>
                <c:pt idx="906">
                  <c:v>78.970499999999987</c:v>
                </c:pt>
                <c:pt idx="907">
                  <c:v>78.970499999999987</c:v>
                </c:pt>
                <c:pt idx="908">
                  <c:v>78.970499999999987</c:v>
                </c:pt>
                <c:pt idx="909">
                  <c:v>78.970499999999987</c:v>
                </c:pt>
                <c:pt idx="910">
                  <c:v>78.970499999999987</c:v>
                </c:pt>
                <c:pt idx="911">
                  <c:v>78.970499999999987</c:v>
                </c:pt>
                <c:pt idx="912">
                  <c:v>78.970499999999987</c:v>
                </c:pt>
                <c:pt idx="913">
                  <c:v>78.970499999999987</c:v>
                </c:pt>
                <c:pt idx="914">
                  <c:v>78.970499999999987</c:v>
                </c:pt>
                <c:pt idx="915">
                  <c:v>78.970499999999987</c:v>
                </c:pt>
                <c:pt idx="916">
                  <c:v>78.970499999999987</c:v>
                </c:pt>
                <c:pt idx="917">
                  <c:v>78.970499999999987</c:v>
                </c:pt>
                <c:pt idx="918">
                  <c:v>78.970499999999987</c:v>
                </c:pt>
                <c:pt idx="919">
                  <c:v>78.970499999999987</c:v>
                </c:pt>
                <c:pt idx="920">
                  <c:v>78.970499999999987</c:v>
                </c:pt>
                <c:pt idx="921">
                  <c:v>78.970499999999987</c:v>
                </c:pt>
                <c:pt idx="922">
                  <c:v>78.970499999999987</c:v>
                </c:pt>
                <c:pt idx="923">
                  <c:v>78.970499999999987</c:v>
                </c:pt>
                <c:pt idx="924">
                  <c:v>78.970499999999987</c:v>
                </c:pt>
                <c:pt idx="925">
                  <c:v>78.970499999999987</c:v>
                </c:pt>
                <c:pt idx="926">
                  <c:v>78.970499999999987</c:v>
                </c:pt>
                <c:pt idx="927">
                  <c:v>78.970499999999987</c:v>
                </c:pt>
                <c:pt idx="928">
                  <c:v>78.970499999999987</c:v>
                </c:pt>
                <c:pt idx="929">
                  <c:v>78.970499999999987</c:v>
                </c:pt>
                <c:pt idx="930">
                  <c:v>78.970499999999987</c:v>
                </c:pt>
                <c:pt idx="931">
                  <c:v>78.970499999999987</c:v>
                </c:pt>
                <c:pt idx="932">
                  <c:v>78.970499999999987</c:v>
                </c:pt>
                <c:pt idx="933">
                  <c:v>78.970499999999987</c:v>
                </c:pt>
                <c:pt idx="934">
                  <c:v>78.970499999999987</c:v>
                </c:pt>
                <c:pt idx="935">
                  <c:v>78.970499999999987</c:v>
                </c:pt>
                <c:pt idx="936">
                  <c:v>78.970499999999987</c:v>
                </c:pt>
                <c:pt idx="937">
                  <c:v>78.970499999999987</c:v>
                </c:pt>
                <c:pt idx="938">
                  <c:v>78.970499999999987</c:v>
                </c:pt>
                <c:pt idx="939">
                  <c:v>78.970499999999987</c:v>
                </c:pt>
                <c:pt idx="940">
                  <c:v>78.970499999999987</c:v>
                </c:pt>
                <c:pt idx="941">
                  <c:v>78.970499999999987</c:v>
                </c:pt>
                <c:pt idx="942">
                  <c:v>78.970499999999987</c:v>
                </c:pt>
                <c:pt idx="943">
                  <c:v>78.970499999999987</c:v>
                </c:pt>
                <c:pt idx="944">
                  <c:v>78.970499999999987</c:v>
                </c:pt>
                <c:pt idx="945">
                  <c:v>78.970499999999987</c:v>
                </c:pt>
                <c:pt idx="946">
                  <c:v>78.970499999999987</c:v>
                </c:pt>
                <c:pt idx="947">
                  <c:v>78.970499999999987</c:v>
                </c:pt>
                <c:pt idx="948">
                  <c:v>78.970499999999987</c:v>
                </c:pt>
                <c:pt idx="949">
                  <c:v>78.970499999999987</c:v>
                </c:pt>
                <c:pt idx="950">
                  <c:v>78.970499999999987</c:v>
                </c:pt>
                <c:pt idx="951">
                  <c:v>78.970499999999987</c:v>
                </c:pt>
                <c:pt idx="952">
                  <c:v>78.970499999999987</c:v>
                </c:pt>
                <c:pt idx="953">
                  <c:v>78.970499999999987</c:v>
                </c:pt>
                <c:pt idx="954">
                  <c:v>78.970499999999987</c:v>
                </c:pt>
                <c:pt idx="955">
                  <c:v>78.970499999999987</c:v>
                </c:pt>
                <c:pt idx="956">
                  <c:v>78.970499999999987</c:v>
                </c:pt>
                <c:pt idx="957">
                  <c:v>78.970499999999987</c:v>
                </c:pt>
                <c:pt idx="958">
                  <c:v>78.970499999999987</c:v>
                </c:pt>
                <c:pt idx="959">
                  <c:v>78.970499999999987</c:v>
                </c:pt>
                <c:pt idx="960">
                  <c:v>78.970499999999987</c:v>
                </c:pt>
                <c:pt idx="961">
                  <c:v>78.970499999999987</c:v>
                </c:pt>
                <c:pt idx="962">
                  <c:v>78.970499999999987</c:v>
                </c:pt>
                <c:pt idx="963">
                  <c:v>78.970499999999987</c:v>
                </c:pt>
                <c:pt idx="964">
                  <c:v>78.970499999999987</c:v>
                </c:pt>
                <c:pt idx="965">
                  <c:v>78.970499999999987</c:v>
                </c:pt>
                <c:pt idx="966">
                  <c:v>78.970499999999987</c:v>
                </c:pt>
                <c:pt idx="967">
                  <c:v>78.970499999999987</c:v>
                </c:pt>
                <c:pt idx="968">
                  <c:v>78.970499999999987</c:v>
                </c:pt>
                <c:pt idx="969">
                  <c:v>78.970499999999987</c:v>
                </c:pt>
                <c:pt idx="970">
                  <c:v>78.970499999999987</c:v>
                </c:pt>
                <c:pt idx="971">
                  <c:v>78.970499999999987</c:v>
                </c:pt>
                <c:pt idx="972">
                  <c:v>78.970499999999987</c:v>
                </c:pt>
                <c:pt idx="973">
                  <c:v>78.970499999999987</c:v>
                </c:pt>
                <c:pt idx="974">
                  <c:v>78.970499999999987</c:v>
                </c:pt>
                <c:pt idx="975">
                  <c:v>78.970499999999987</c:v>
                </c:pt>
                <c:pt idx="976">
                  <c:v>78.970499999999987</c:v>
                </c:pt>
                <c:pt idx="977">
                  <c:v>78.970499999999987</c:v>
                </c:pt>
                <c:pt idx="978">
                  <c:v>78.970499999999987</c:v>
                </c:pt>
                <c:pt idx="979">
                  <c:v>78.970499999999987</c:v>
                </c:pt>
                <c:pt idx="980">
                  <c:v>78.970499999999987</c:v>
                </c:pt>
                <c:pt idx="981">
                  <c:v>78.970499999999987</c:v>
                </c:pt>
                <c:pt idx="982">
                  <c:v>78.970499999999987</c:v>
                </c:pt>
                <c:pt idx="983">
                  <c:v>78.970499999999987</c:v>
                </c:pt>
                <c:pt idx="984">
                  <c:v>78.970499999999987</c:v>
                </c:pt>
                <c:pt idx="985">
                  <c:v>78.970499999999987</c:v>
                </c:pt>
                <c:pt idx="986">
                  <c:v>78.970499999999987</c:v>
                </c:pt>
                <c:pt idx="987">
                  <c:v>78.970499999999987</c:v>
                </c:pt>
                <c:pt idx="988">
                  <c:v>78.970499999999987</c:v>
                </c:pt>
                <c:pt idx="989">
                  <c:v>78.970499999999987</c:v>
                </c:pt>
                <c:pt idx="990">
                  <c:v>78.970499999999987</c:v>
                </c:pt>
                <c:pt idx="991">
                  <c:v>78.970499999999987</c:v>
                </c:pt>
                <c:pt idx="992">
                  <c:v>78.970499999999987</c:v>
                </c:pt>
                <c:pt idx="993">
                  <c:v>78.970499999999987</c:v>
                </c:pt>
                <c:pt idx="994">
                  <c:v>78.970499999999987</c:v>
                </c:pt>
                <c:pt idx="995">
                  <c:v>78.970499999999987</c:v>
                </c:pt>
                <c:pt idx="996">
                  <c:v>78.970499999999987</c:v>
                </c:pt>
                <c:pt idx="997">
                  <c:v>78.970499999999987</c:v>
                </c:pt>
                <c:pt idx="998">
                  <c:v>78.970499999999987</c:v>
                </c:pt>
                <c:pt idx="999">
                  <c:v>78.970499999999987</c:v>
                </c:pt>
                <c:pt idx="1000">
                  <c:v>78.970499999999987</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33.900100000000215</c:v>
                </c:pt>
                <c:pt idx="521">
                  <c:v>33.900200000000218</c:v>
                </c:pt>
                <c:pt idx="522">
                  <c:v>33.900300000000222</c:v>
                </c:pt>
                <c:pt idx="523">
                  <c:v>33.900400000000225</c:v>
                </c:pt>
                <c:pt idx="524">
                  <c:v>33.900500000000228</c:v>
                </c:pt>
                <c:pt idx="525">
                  <c:v>33.900600000000232</c:v>
                </c:pt>
                <c:pt idx="526">
                  <c:v>33.900700000000235</c:v>
                </c:pt>
                <c:pt idx="527">
                  <c:v>33.900800000000238</c:v>
                </c:pt>
                <c:pt idx="528">
                  <c:v>33.900900000000242</c:v>
                </c:pt>
                <c:pt idx="529">
                  <c:v>33.901000000000245</c:v>
                </c:pt>
                <c:pt idx="530">
                  <c:v>33.901100000000248</c:v>
                </c:pt>
                <c:pt idx="531">
                  <c:v>33.901200000000252</c:v>
                </c:pt>
                <c:pt idx="532">
                  <c:v>33.901300000000255</c:v>
                </c:pt>
                <c:pt idx="533">
                  <c:v>33.901400000000258</c:v>
                </c:pt>
                <c:pt idx="534">
                  <c:v>33.901500000000262</c:v>
                </c:pt>
                <c:pt idx="535">
                  <c:v>33.901600000000265</c:v>
                </c:pt>
                <c:pt idx="536">
                  <c:v>33.901700000000268</c:v>
                </c:pt>
                <c:pt idx="537">
                  <c:v>33.901800000000271</c:v>
                </c:pt>
                <c:pt idx="538">
                  <c:v>33.901900000000275</c:v>
                </c:pt>
                <c:pt idx="539">
                  <c:v>33.902000000000278</c:v>
                </c:pt>
                <c:pt idx="540">
                  <c:v>33.902100000000281</c:v>
                </c:pt>
                <c:pt idx="541">
                  <c:v>33.902200000000285</c:v>
                </c:pt>
                <c:pt idx="542">
                  <c:v>33.902300000000288</c:v>
                </c:pt>
                <c:pt idx="543">
                  <c:v>33.902400000000291</c:v>
                </c:pt>
                <c:pt idx="544">
                  <c:v>33.902500000000295</c:v>
                </c:pt>
                <c:pt idx="545">
                  <c:v>33.902600000000298</c:v>
                </c:pt>
                <c:pt idx="546">
                  <c:v>33.902700000000301</c:v>
                </c:pt>
                <c:pt idx="547">
                  <c:v>33.902800000000305</c:v>
                </c:pt>
                <c:pt idx="548">
                  <c:v>33.902900000000308</c:v>
                </c:pt>
                <c:pt idx="549">
                  <c:v>33.903000000000311</c:v>
                </c:pt>
                <c:pt idx="550">
                  <c:v>33.903100000000315</c:v>
                </c:pt>
                <c:pt idx="551">
                  <c:v>33.903200000000318</c:v>
                </c:pt>
                <c:pt idx="552">
                  <c:v>33.903300000000321</c:v>
                </c:pt>
                <c:pt idx="553">
                  <c:v>33.903400000000325</c:v>
                </c:pt>
                <c:pt idx="554">
                  <c:v>33.903500000000328</c:v>
                </c:pt>
                <c:pt idx="555">
                  <c:v>33.903600000000331</c:v>
                </c:pt>
                <c:pt idx="556">
                  <c:v>33.903700000000335</c:v>
                </c:pt>
                <c:pt idx="557">
                  <c:v>33.903800000000338</c:v>
                </c:pt>
                <c:pt idx="558">
                  <c:v>33.903900000000341</c:v>
                </c:pt>
                <c:pt idx="559">
                  <c:v>33.904000000000345</c:v>
                </c:pt>
                <c:pt idx="560">
                  <c:v>33.904100000000348</c:v>
                </c:pt>
                <c:pt idx="561">
                  <c:v>33.904200000000351</c:v>
                </c:pt>
                <c:pt idx="562">
                  <c:v>33.904300000000354</c:v>
                </c:pt>
                <c:pt idx="563">
                  <c:v>33.904400000000358</c:v>
                </c:pt>
                <c:pt idx="564">
                  <c:v>33.904500000000361</c:v>
                </c:pt>
                <c:pt idx="565">
                  <c:v>33.904600000000364</c:v>
                </c:pt>
                <c:pt idx="566">
                  <c:v>33.904700000000368</c:v>
                </c:pt>
                <c:pt idx="567">
                  <c:v>33.904800000000371</c:v>
                </c:pt>
                <c:pt idx="568">
                  <c:v>33.904900000000374</c:v>
                </c:pt>
                <c:pt idx="569">
                  <c:v>33.905000000000378</c:v>
                </c:pt>
                <c:pt idx="570">
                  <c:v>33.905100000000381</c:v>
                </c:pt>
                <c:pt idx="571">
                  <c:v>33.905200000000384</c:v>
                </c:pt>
                <c:pt idx="572">
                  <c:v>33.905300000000388</c:v>
                </c:pt>
                <c:pt idx="573">
                  <c:v>33.905400000000391</c:v>
                </c:pt>
                <c:pt idx="574">
                  <c:v>33.905500000000394</c:v>
                </c:pt>
                <c:pt idx="575">
                  <c:v>33.905600000000398</c:v>
                </c:pt>
                <c:pt idx="576">
                  <c:v>33.905700000000401</c:v>
                </c:pt>
                <c:pt idx="577">
                  <c:v>33.905800000000404</c:v>
                </c:pt>
                <c:pt idx="578">
                  <c:v>33.905900000000408</c:v>
                </c:pt>
                <c:pt idx="579">
                  <c:v>33.906000000000411</c:v>
                </c:pt>
                <c:pt idx="580">
                  <c:v>33.906100000000414</c:v>
                </c:pt>
                <c:pt idx="581">
                  <c:v>33.906200000000418</c:v>
                </c:pt>
                <c:pt idx="582">
                  <c:v>33.906300000000421</c:v>
                </c:pt>
                <c:pt idx="583">
                  <c:v>33.906400000000424</c:v>
                </c:pt>
                <c:pt idx="584">
                  <c:v>33.906500000000428</c:v>
                </c:pt>
                <c:pt idx="585">
                  <c:v>33.906600000000431</c:v>
                </c:pt>
                <c:pt idx="586">
                  <c:v>33.906700000000434</c:v>
                </c:pt>
                <c:pt idx="587">
                  <c:v>33.906800000000437</c:v>
                </c:pt>
                <c:pt idx="588">
                  <c:v>33.906900000000441</c:v>
                </c:pt>
                <c:pt idx="589">
                  <c:v>33.907000000000444</c:v>
                </c:pt>
                <c:pt idx="590">
                  <c:v>33.907100000000447</c:v>
                </c:pt>
                <c:pt idx="591">
                  <c:v>33.907200000000451</c:v>
                </c:pt>
                <c:pt idx="592">
                  <c:v>33.907300000000454</c:v>
                </c:pt>
                <c:pt idx="593">
                  <c:v>33.907400000000457</c:v>
                </c:pt>
                <c:pt idx="594">
                  <c:v>33.907500000000461</c:v>
                </c:pt>
                <c:pt idx="595">
                  <c:v>33.907600000000464</c:v>
                </c:pt>
                <c:pt idx="596">
                  <c:v>33.907700000000467</c:v>
                </c:pt>
                <c:pt idx="597">
                  <c:v>33.907800000000471</c:v>
                </c:pt>
                <c:pt idx="598">
                  <c:v>33.907900000000474</c:v>
                </c:pt>
                <c:pt idx="599">
                  <c:v>33.908000000000477</c:v>
                </c:pt>
                <c:pt idx="600">
                  <c:v>33.908100000000481</c:v>
                </c:pt>
                <c:pt idx="601">
                  <c:v>33.908200000000484</c:v>
                </c:pt>
                <c:pt idx="602">
                  <c:v>33.908300000000487</c:v>
                </c:pt>
                <c:pt idx="603">
                  <c:v>33.908400000000491</c:v>
                </c:pt>
                <c:pt idx="604">
                  <c:v>33.908500000000494</c:v>
                </c:pt>
                <c:pt idx="605">
                  <c:v>33.908600000000497</c:v>
                </c:pt>
                <c:pt idx="606">
                  <c:v>33.908700000000501</c:v>
                </c:pt>
                <c:pt idx="607">
                  <c:v>33.908800000000504</c:v>
                </c:pt>
                <c:pt idx="608">
                  <c:v>33.908900000000507</c:v>
                </c:pt>
                <c:pt idx="609">
                  <c:v>33.909000000000511</c:v>
                </c:pt>
                <c:pt idx="610">
                  <c:v>33.909100000000514</c:v>
                </c:pt>
                <c:pt idx="611">
                  <c:v>33.909200000000517</c:v>
                </c:pt>
                <c:pt idx="612">
                  <c:v>33.90930000000052</c:v>
                </c:pt>
                <c:pt idx="613">
                  <c:v>33.909400000000524</c:v>
                </c:pt>
                <c:pt idx="614">
                  <c:v>33.909500000000527</c:v>
                </c:pt>
                <c:pt idx="615">
                  <c:v>33.90960000000053</c:v>
                </c:pt>
                <c:pt idx="616">
                  <c:v>33.909700000000534</c:v>
                </c:pt>
                <c:pt idx="617">
                  <c:v>33.909800000000537</c:v>
                </c:pt>
                <c:pt idx="618">
                  <c:v>33.90990000000054</c:v>
                </c:pt>
                <c:pt idx="619">
                  <c:v>33.910000000000544</c:v>
                </c:pt>
                <c:pt idx="620">
                  <c:v>33.910100000000547</c:v>
                </c:pt>
                <c:pt idx="621">
                  <c:v>33.91020000000055</c:v>
                </c:pt>
                <c:pt idx="622">
                  <c:v>33.910300000000554</c:v>
                </c:pt>
                <c:pt idx="623">
                  <c:v>33.910400000000557</c:v>
                </c:pt>
                <c:pt idx="624">
                  <c:v>33.91050000000056</c:v>
                </c:pt>
                <c:pt idx="625">
                  <c:v>33.910600000000564</c:v>
                </c:pt>
                <c:pt idx="626">
                  <c:v>33.910700000000567</c:v>
                </c:pt>
                <c:pt idx="627">
                  <c:v>33.91080000000057</c:v>
                </c:pt>
                <c:pt idx="628">
                  <c:v>33.910900000000574</c:v>
                </c:pt>
                <c:pt idx="629">
                  <c:v>33.911000000000577</c:v>
                </c:pt>
                <c:pt idx="630">
                  <c:v>33.91110000000058</c:v>
                </c:pt>
                <c:pt idx="631">
                  <c:v>33.911200000000584</c:v>
                </c:pt>
                <c:pt idx="632">
                  <c:v>33.911300000000587</c:v>
                </c:pt>
                <c:pt idx="633">
                  <c:v>33.91140000000059</c:v>
                </c:pt>
                <c:pt idx="634">
                  <c:v>33.911500000000594</c:v>
                </c:pt>
                <c:pt idx="635">
                  <c:v>33.911600000000597</c:v>
                </c:pt>
                <c:pt idx="636">
                  <c:v>33.9117000000006</c:v>
                </c:pt>
                <c:pt idx="637">
                  <c:v>33.911800000000603</c:v>
                </c:pt>
                <c:pt idx="638">
                  <c:v>33.911900000000607</c:v>
                </c:pt>
                <c:pt idx="639">
                  <c:v>33.91200000000061</c:v>
                </c:pt>
                <c:pt idx="640">
                  <c:v>33.912100000000613</c:v>
                </c:pt>
                <c:pt idx="641">
                  <c:v>33.912200000000617</c:v>
                </c:pt>
                <c:pt idx="642">
                  <c:v>33.91230000000062</c:v>
                </c:pt>
                <c:pt idx="643">
                  <c:v>33.912400000000623</c:v>
                </c:pt>
                <c:pt idx="644">
                  <c:v>33.912500000000627</c:v>
                </c:pt>
                <c:pt idx="645">
                  <c:v>33.91260000000063</c:v>
                </c:pt>
                <c:pt idx="646">
                  <c:v>33.912700000000633</c:v>
                </c:pt>
                <c:pt idx="647">
                  <c:v>33.912800000000637</c:v>
                </c:pt>
                <c:pt idx="648">
                  <c:v>33.91290000000064</c:v>
                </c:pt>
                <c:pt idx="649">
                  <c:v>33.913000000000643</c:v>
                </c:pt>
                <c:pt idx="650">
                  <c:v>33.913100000000647</c:v>
                </c:pt>
                <c:pt idx="651">
                  <c:v>33.91320000000065</c:v>
                </c:pt>
                <c:pt idx="652">
                  <c:v>33.913300000000653</c:v>
                </c:pt>
                <c:pt idx="653">
                  <c:v>33.913400000000657</c:v>
                </c:pt>
                <c:pt idx="654">
                  <c:v>33.91350000000066</c:v>
                </c:pt>
                <c:pt idx="655">
                  <c:v>33.913600000000663</c:v>
                </c:pt>
                <c:pt idx="656">
                  <c:v>33.913700000000667</c:v>
                </c:pt>
                <c:pt idx="657">
                  <c:v>33.91380000000067</c:v>
                </c:pt>
                <c:pt idx="658">
                  <c:v>33.913900000000673</c:v>
                </c:pt>
                <c:pt idx="659">
                  <c:v>33.914000000000676</c:v>
                </c:pt>
                <c:pt idx="660">
                  <c:v>33.91410000000068</c:v>
                </c:pt>
                <c:pt idx="661">
                  <c:v>33.914200000000683</c:v>
                </c:pt>
                <c:pt idx="662">
                  <c:v>33.914300000000686</c:v>
                </c:pt>
                <c:pt idx="663">
                  <c:v>33.91440000000069</c:v>
                </c:pt>
                <c:pt idx="664">
                  <c:v>33.914500000000693</c:v>
                </c:pt>
                <c:pt idx="665">
                  <c:v>33.914600000000696</c:v>
                </c:pt>
                <c:pt idx="666">
                  <c:v>33.9147000000007</c:v>
                </c:pt>
                <c:pt idx="667">
                  <c:v>33.914800000000703</c:v>
                </c:pt>
                <c:pt idx="668">
                  <c:v>33.914900000000706</c:v>
                </c:pt>
                <c:pt idx="669">
                  <c:v>33.91500000000071</c:v>
                </c:pt>
                <c:pt idx="670">
                  <c:v>33.915100000000713</c:v>
                </c:pt>
                <c:pt idx="671">
                  <c:v>33.915200000000716</c:v>
                </c:pt>
                <c:pt idx="672">
                  <c:v>33.91530000000072</c:v>
                </c:pt>
                <c:pt idx="673">
                  <c:v>33.915400000000723</c:v>
                </c:pt>
                <c:pt idx="674">
                  <c:v>33.915500000000726</c:v>
                </c:pt>
                <c:pt idx="675">
                  <c:v>33.91560000000073</c:v>
                </c:pt>
                <c:pt idx="676">
                  <c:v>33.915700000000733</c:v>
                </c:pt>
                <c:pt idx="677">
                  <c:v>33.915800000000736</c:v>
                </c:pt>
                <c:pt idx="678">
                  <c:v>33.91590000000074</c:v>
                </c:pt>
                <c:pt idx="679">
                  <c:v>33.916000000000743</c:v>
                </c:pt>
                <c:pt idx="680">
                  <c:v>33.916100000000746</c:v>
                </c:pt>
                <c:pt idx="681">
                  <c:v>33.91620000000075</c:v>
                </c:pt>
                <c:pt idx="682">
                  <c:v>33.916300000000753</c:v>
                </c:pt>
                <c:pt idx="683">
                  <c:v>33.916400000000756</c:v>
                </c:pt>
                <c:pt idx="684">
                  <c:v>33.916500000000759</c:v>
                </c:pt>
                <c:pt idx="685">
                  <c:v>33.916600000000763</c:v>
                </c:pt>
                <c:pt idx="686">
                  <c:v>33.916700000000766</c:v>
                </c:pt>
                <c:pt idx="687">
                  <c:v>33.916800000000769</c:v>
                </c:pt>
                <c:pt idx="688">
                  <c:v>33.916900000000773</c:v>
                </c:pt>
                <c:pt idx="689">
                  <c:v>33.917000000000776</c:v>
                </c:pt>
                <c:pt idx="690">
                  <c:v>33.917100000000779</c:v>
                </c:pt>
                <c:pt idx="691">
                  <c:v>33.917200000000783</c:v>
                </c:pt>
                <c:pt idx="692">
                  <c:v>33.917300000000786</c:v>
                </c:pt>
                <c:pt idx="693">
                  <c:v>33.917400000000789</c:v>
                </c:pt>
                <c:pt idx="694">
                  <c:v>33.917500000000793</c:v>
                </c:pt>
                <c:pt idx="695">
                  <c:v>33.917600000000796</c:v>
                </c:pt>
                <c:pt idx="696">
                  <c:v>33.917700000000799</c:v>
                </c:pt>
                <c:pt idx="697">
                  <c:v>33.917800000000803</c:v>
                </c:pt>
                <c:pt idx="698">
                  <c:v>33.917900000000806</c:v>
                </c:pt>
                <c:pt idx="699">
                  <c:v>33.918000000000809</c:v>
                </c:pt>
                <c:pt idx="700">
                  <c:v>33.918100000000813</c:v>
                </c:pt>
                <c:pt idx="701">
                  <c:v>33.918200000000816</c:v>
                </c:pt>
                <c:pt idx="702">
                  <c:v>33.918300000000819</c:v>
                </c:pt>
                <c:pt idx="703">
                  <c:v>33.918400000000823</c:v>
                </c:pt>
                <c:pt idx="704">
                  <c:v>33.918500000000826</c:v>
                </c:pt>
                <c:pt idx="705">
                  <c:v>33.918600000000829</c:v>
                </c:pt>
                <c:pt idx="706">
                  <c:v>33.918700000000833</c:v>
                </c:pt>
                <c:pt idx="707">
                  <c:v>33.918800000000836</c:v>
                </c:pt>
                <c:pt idx="708">
                  <c:v>33.918900000000839</c:v>
                </c:pt>
                <c:pt idx="709">
                  <c:v>33.919000000000842</c:v>
                </c:pt>
                <c:pt idx="710">
                  <c:v>33.919100000000846</c:v>
                </c:pt>
                <c:pt idx="711">
                  <c:v>33.919200000000849</c:v>
                </c:pt>
                <c:pt idx="712">
                  <c:v>33.919300000000852</c:v>
                </c:pt>
                <c:pt idx="713">
                  <c:v>33.919400000000856</c:v>
                </c:pt>
                <c:pt idx="714">
                  <c:v>33.919500000000859</c:v>
                </c:pt>
                <c:pt idx="715">
                  <c:v>33.919600000000862</c:v>
                </c:pt>
                <c:pt idx="716">
                  <c:v>33.919700000000866</c:v>
                </c:pt>
                <c:pt idx="717">
                  <c:v>33.919800000000869</c:v>
                </c:pt>
                <c:pt idx="718">
                  <c:v>33.919900000000872</c:v>
                </c:pt>
                <c:pt idx="719">
                  <c:v>33.920000000000876</c:v>
                </c:pt>
                <c:pt idx="720">
                  <c:v>33.920100000000879</c:v>
                </c:pt>
                <c:pt idx="721">
                  <c:v>33.920200000000882</c:v>
                </c:pt>
                <c:pt idx="722">
                  <c:v>33.920300000000886</c:v>
                </c:pt>
                <c:pt idx="723">
                  <c:v>33.920400000000889</c:v>
                </c:pt>
                <c:pt idx="724">
                  <c:v>33.920500000000892</c:v>
                </c:pt>
                <c:pt idx="725">
                  <c:v>33.920600000000896</c:v>
                </c:pt>
                <c:pt idx="726">
                  <c:v>33.920700000000899</c:v>
                </c:pt>
                <c:pt idx="727">
                  <c:v>33.920800000000902</c:v>
                </c:pt>
                <c:pt idx="728">
                  <c:v>33.920900000000906</c:v>
                </c:pt>
                <c:pt idx="729">
                  <c:v>33.921000000000909</c:v>
                </c:pt>
                <c:pt idx="730">
                  <c:v>33.921100000000912</c:v>
                </c:pt>
                <c:pt idx="731">
                  <c:v>33.921200000000916</c:v>
                </c:pt>
                <c:pt idx="732">
                  <c:v>33.921300000000919</c:v>
                </c:pt>
                <c:pt idx="733">
                  <c:v>33.921400000000922</c:v>
                </c:pt>
                <c:pt idx="734">
                  <c:v>33.921500000000925</c:v>
                </c:pt>
                <c:pt idx="735">
                  <c:v>33.921600000000929</c:v>
                </c:pt>
                <c:pt idx="736">
                  <c:v>33.921700000000932</c:v>
                </c:pt>
                <c:pt idx="737">
                  <c:v>33.921800000000935</c:v>
                </c:pt>
                <c:pt idx="738">
                  <c:v>33.921900000000939</c:v>
                </c:pt>
                <c:pt idx="739">
                  <c:v>33.922000000000942</c:v>
                </c:pt>
                <c:pt idx="740">
                  <c:v>33.922100000000945</c:v>
                </c:pt>
                <c:pt idx="741">
                  <c:v>33.922200000000949</c:v>
                </c:pt>
                <c:pt idx="742">
                  <c:v>33.922300000000952</c:v>
                </c:pt>
                <c:pt idx="743">
                  <c:v>33.922400000000955</c:v>
                </c:pt>
                <c:pt idx="744">
                  <c:v>33.922500000000959</c:v>
                </c:pt>
                <c:pt idx="745">
                  <c:v>33.922600000000962</c:v>
                </c:pt>
                <c:pt idx="746">
                  <c:v>33.922700000000965</c:v>
                </c:pt>
                <c:pt idx="747">
                  <c:v>33.922800000000969</c:v>
                </c:pt>
                <c:pt idx="748">
                  <c:v>33.922900000000972</c:v>
                </c:pt>
                <c:pt idx="749">
                  <c:v>33.923000000000975</c:v>
                </c:pt>
                <c:pt idx="750">
                  <c:v>33.923100000000979</c:v>
                </c:pt>
                <c:pt idx="751">
                  <c:v>33.923200000000982</c:v>
                </c:pt>
                <c:pt idx="752">
                  <c:v>33.923300000000985</c:v>
                </c:pt>
                <c:pt idx="753">
                  <c:v>33.923400000000989</c:v>
                </c:pt>
                <c:pt idx="754">
                  <c:v>33.923500000000992</c:v>
                </c:pt>
                <c:pt idx="755">
                  <c:v>33.923600000000995</c:v>
                </c:pt>
                <c:pt idx="756">
                  <c:v>33.923700000000999</c:v>
                </c:pt>
                <c:pt idx="757">
                  <c:v>33.923800000001002</c:v>
                </c:pt>
                <c:pt idx="758">
                  <c:v>33.923900000001005</c:v>
                </c:pt>
                <c:pt idx="759">
                  <c:v>33.924000000001008</c:v>
                </c:pt>
                <c:pt idx="760">
                  <c:v>33.924100000001012</c:v>
                </c:pt>
                <c:pt idx="761">
                  <c:v>33.924200000001015</c:v>
                </c:pt>
                <c:pt idx="762">
                  <c:v>33.924300000001018</c:v>
                </c:pt>
                <c:pt idx="763">
                  <c:v>33.924400000001022</c:v>
                </c:pt>
                <c:pt idx="764">
                  <c:v>33.924500000001025</c:v>
                </c:pt>
                <c:pt idx="765">
                  <c:v>33.924600000001028</c:v>
                </c:pt>
                <c:pt idx="766">
                  <c:v>33.924700000001032</c:v>
                </c:pt>
                <c:pt idx="767">
                  <c:v>33.924800000001035</c:v>
                </c:pt>
                <c:pt idx="768">
                  <c:v>33.924900000001038</c:v>
                </c:pt>
                <c:pt idx="769">
                  <c:v>33.925000000001042</c:v>
                </c:pt>
                <c:pt idx="770">
                  <c:v>33.925100000001045</c:v>
                </c:pt>
                <c:pt idx="771">
                  <c:v>33.925200000001048</c:v>
                </c:pt>
                <c:pt idx="772">
                  <c:v>33.925300000001052</c:v>
                </c:pt>
                <c:pt idx="773">
                  <c:v>33.925400000001055</c:v>
                </c:pt>
                <c:pt idx="774">
                  <c:v>33.925500000001058</c:v>
                </c:pt>
                <c:pt idx="775">
                  <c:v>33.925600000001062</c:v>
                </c:pt>
                <c:pt idx="776">
                  <c:v>33.925700000001065</c:v>
                </c:pt>
                <c:pt idx="777">
                  <c:v>33.925800000001068</c:v>
                </c:pt>
                <c:pt idx="778">
                  <c:v>33.925900000001072</c:v>
                </c:pt>
                <c:pt idx="779">
                  <c:v>33.926000000001075</c:v>
                </c:pt>
                <c:pt idx="780">
                  <c:v>33.926100000001078</c:v>
                </c:pt>
                <c:pt idx="781">
                  <c:v>33.926200000001081</c:v>
                </c:pt>
                <c:pt idx="782">
                  <c:v>33.926300000001085</c:v>
                </c:pt>
                <c:pt idx="783">
                  <c:v>33.926400000001088</c:v>
                </c:pt>
                <c:pt idx="784">
                  <c:v>33.926500000001091</c:v>
                </c:pt>
                <c:pt idx="785">
                  <c:v>33.926600000001095</c:v>
                </c:pt>
                <c:pt idx="786">
                  <c:v>33.926700000001098</c:v>
                </c:pt>
                <c:pt idx="787">
                  <c:v>33.926800000001101</c:v>
                </c:pt>
                <c:pt idx="788">
                  <c:v>33.926900000001105</c:v>
                </c:pt>
                <c:pt idx="789">
                  <c:v>33.927000000001108</c:v>
                </c:pt>
                <c:pt idx="790">
                  <c:v>33.927100000001111</c:v>
                </c:pt>
                <c:pt idx="791">
                  <c:v>33.927200000001115</c:v>
                </c:pt>
                <c:pt idx="792">
                  <c:v>33.927300000001118</c:v>
                </c:pt>
                <c:pt idx="793">
                  <c:v>33.927400000001121</c:v>
                </c:pt>
                <c:pt idx="794">
                  <c:v>33.927500000001125</c:v>
                </c:pt>
                <c:pt idx="795">
                  <c:v>33.927600000001128</c:v>
                </c:pt>
                <c:pt idx="796">
                  <c:v>33.927700000001131</c:v>
                </c:pt>
                <c:pt idx="797">
                  <c:v>33.927800000001135</c:v>
                </c:pt>
                <c:pt idx="798">
                  <c:v>33.927900000001138</c:v>
                </c:pt>
                <c:pt idx="799">
                  <c:v>33.928000000001141</c:v>
                </c:pt>
                <c:pt idx="800">
                  <c:v>33.928100000001145</c:v>
                </c:pt>
                <c:pt idx="801">
                  <c:v>33.928200000001148</c:v>
                </c:pt>
                <c:pt idx="802">
                  <c:v>33.928300000001151</c:v>
                </c:pt>
                <c:pt idx="803">
                  <c:v>33.928400000001155</c:v>
                </c:pt>
                <c:pt idx="804">
                  <c:v>33.928500000001158</c:v>
                </c:pt>
                <c:pt idx="805">
                  <c:v>33.928600000001161</c:v>
                </c:pt>
                <c:pt idx="806">
                  <c:v>33.928700000001164</c:v>
                </c:pt>
                <c:pt idx="807">
                  <c:v>33.928800000001168</c:v>
                </c:pt>
                <c:pt idx="808">
                  <c:v>33.928900000001171</c:v>
                </c:pt>
                <c:pt idx="809">
                  <c:v>33.929000000001174</c:v>
                </c:pt>
                <c:pt idx="810">
                  <c:v>33.929100000001178</c:v>
                </c:pt>
                <c:pt idx="811">
                  <c:v>33.929200000001181</c:v>
                </c:pt>
                <c:pt idx="812">
                  <c:v>33.929300000001184</c:v>
                </c:pt>
                <c:pt idx="813">
                  <c:v>33.929400000001188</c:v>
                </c:pt>
                <c:pt idx="814">
                  <c:v>33.929500000001191</c:v>
                </c:pt>
                <c:pt idx="815">
                  <c:v>33.929600000001194</c:v>
                </c:pt>
                <c:pt idx="816">
                  <c:v>33.929700000001198</c:v>
                </c:pt>
                <c:pt idx="817">
                  <c:v>33.929800000001201</c:v>
                </c:pt>
                <c:pt idx="818">
                  <c:v>33.929900000001204</c:v>
                </c:pt>
                <c:pt idx="819">
                  <c:v>33.930000000001208</c:v>
                </c:pt>
                <c:pt idx="820">
                  <c:v>33.930100000001211</c:v>
                </c:pt>
                <c:pt idx="821">
                  <c:v>33.930200000001214</c:v>
                </c:pt>
                <c:pt idx="822">
                  <c:v>33.930300000001218</c:v>
                </c:pt>
                <c:pt idx="823">
                  <c:v>33.930400000001221</c:v>
                </c:pt>
                <c:pt idx="824">
                  <c:v>33.930500000001224</c:v>
                </c:pt>
                <c:pt idx="825">
                  <c:v>33.930600000001228</c:v>
                </c:pt>
                <c:pt idx="826">
                  <c:v>33.930700000001231</c:v>
                </c:pt>
                <c:pt idx="827">
                  <c:v>33.930800000001234</c:v>
                </c:pt>
                <c:pt idx="828">
                  <c:v>33.930900000001238</c:v>
                </c:pt>
                <c:pt idx="829">
                  <c:v>33.931000000001241</c:v>
                </c:pt>
                <c:pt idx="830">
                  <c:v>33.931100000001244</c:v>
                </c:pt>
                <c:pt idx="831">
                  <c:v>33.931200000001247</c:v>
                </c:pt>
                <c:pt idx="832">
                  <c:v>33.931300000001251</c:v>
                </c:pt>
                <c:pt idx="833">
                  <c:v>33.931400000001254</c:v>
                </c:pt>
                <c:pt idx="834">
                  <c:v>33.931500000001257</c:v>
                </c:pt>
                <c:pt idx="835">
                  <c:v>33.931600000001261</c:v>
                </c:pt>
                <c:pt idx="836">
                  <c:v>33.931700000001264</c:v>
                </c:pt>
                <c:pt idx="837">
                  <c:v>33.931800000001267</c:v>
                </c:pt>
                <c:pt idx="838">
                  <c:v>33.931900000001271</c:v>
                </c:pt>
                <c:pt idx="839">
                  <c:v>33.932000000001274</c:v>
                </c:pt>
                <c:pt idx="840">
                  <c:v>33.932100000001277</c:v>
                </c:pt>
                <c:pt idx="841">
                  <c:v>33.932200000001281</c:v>
                </c:pt>
                <c:pt idx="842">
                  <c:v>33.932300000001284</c:v>
                </c:pt>
                <c:pt idx="843">
                  <c:v>33.932400000001287</c:v>
                </c:pt>
                <c:pt idx="844">
                  <c:v>33.932500000001291</c:v>
                </c:pt>
                <c:pt idx="845">
                  <c:v>33.932600000001294</c:v>
                </c:pt>
                <c:pt idx="846">
                  <c:v>33.932700000001297</c:v>
                </c:pt>
                <c:pt idx="847">
                  <c:v>33.932800000001301</c:v>
                </c:pt>
                <c:pt idx="848">
                  <c:v>33.932900000001304</c:v>
                </c:pt>
                <c:pt idx="849">
                  <c:v>33.933000000001307</c:v>
                </c:pt>
                <c:pt idx="850">
                  <c:v>33.933100000001311</c:v>
                </c:pt>
                <c:pt idx="851">
                  <c:v>33.933200000001314</c:v>
                </c:pt>
                <c:pt idx="852">
                  <c:v>33.933300000001317</c:v>
                </c:pt>
                <c:pt idx="853">
                  <c:v>33.933400000001321</c:v>
                </c:pt>
                <c:pt idx="854">
                  <c:v>33.933500000001324</c:v>
                </c:pt>
                <c:pt idx="855">
                  <c:v>33.933600000001327</c:v>
                </c:pt>
                <c:pt idx="856">
                  <c:v>33.93370000000133</c:v>
                </c:pt>
                <c:pt idx="857">
                  <c:v>33.933800000001334</c:v>
                </c:pt>
                <c:pt idx="858">
                  <c:v>33.933900000001337</c:v>
                </c:pt>
                <c:pt idx="859">
                  <c:v>33.93400000000134</c:v>
                </c:pt>
                <c:pt idx="860">
                  <c:v>33.934100000001344</c:v>
                </c:pt>
                <c:pt idx="861">
                  <c:v>33.934200000001347</c:v>
                </c:pt>
                <c:pt idx="862">
                  <c:v>33.93430000000135</c:v>
                </c:pt>
                <c:pt idx="863">
                  <c:v>33.934400000001354</c:v>
                </c:pt>
                <c:pt idx="864">
                  <c:v>33.934500000001357</c:v>
                </c:pt>
                <c:pt idx="865">
                  <c:v>33.93460000000136</c:v>
                </c:pt>
                <c:pt idx="866">
                  <c:v>33.934700000001364</c:v>
                </c:pt>
                <c:pt idx="867">
                  <c:v>33.934800000001367</c:v>
                </c:pt>
                <c:pt idx="868">
                  <c:v>33.93490000000137</c:v>
                </c:pt>
                <c:pt idx="869">
                  <c:v>33.935000000001374</c:v>
                </c:pt>
                <c:pt idx="870">
                  <c:v>33.935100000001377</c:v>
                </c:pt>
                <c:pt idx="871">
                  <c:v>33.93520000000138</c:v>
                </c:pt>
                <c:pt idx="872">
                  <c:v>33.935300000001384</c:v>
                </c:pt>
                <c:pt idx="873">
                  <c:v>33.935400000001387</c:v>
                </c:pt>
                <c:pt idx="874">
                  <c:v>33.93550000000139</c:v>
                </c:pt>
                <c:pt idx="875">
                  <c:v>33.935600000001394</c:v>
                </c:pt>
                <c:pt idx="876">
                  <c:v>33.935700000001397</c:v>
                </c:pt>
                <c:pt idx="877">
                  <c:v>33.9358000000014</c:v>
                </c:pt>
                <c:pt idx="878">
                  <c:v>33.935900000001403</c:v>
                </c:pt>
                <c:pt idx="879">
                  <c:v>33.936000000001407</c:v>
                </c:pt>
                <c:pt idx="880">
                  <c:v>33.93610000000141</c:v>
                </c:pt>
                <c:pt idx="881">
                  <c:v>33.936200000001413</c:v>
                </c:pt>
                <c:pt idx="882">
                  <c:v>33.936300000001417</c:v>
                </c:pt>
                <c:pt idx="883">
                  <c:v>33.93640000000142</c:v>
                </c:pt>
                <c:pt idx="884">
                  <c:v>33.936500000001423</c:v>
                </c:pt>
                <c:pt idx="885">
                  <c:v>33.936600000001427</c:v>
                </c:pt>
                <c:pt idx="886">
                  <c:v>33.93670000000143</c:v>
                </c:pt>
                <c:pt idx="887">
                  <c:v>33.936800000001433</c:v>
                </c:pt>
                <c:pt idx="888">
                  <c:v>33.936900000001437</c:v>
                </c:pt>
                <c:pt idx="889">
                  <c:v>33.93700000000144</c:v>
                </c:pt>
                <c:pt idx="890">
                  <c:v>33.937100000001443</c:v>
                </c:pt>
                <c:pt idx="891">
                  <c:v>33.937200000001447</c:v>
                </c:pt>
                <c:pt idx="892">
                  <c:v>33.93730000000145</c:v>
                </c:pt>
                <c:pt idx="893">
                  <c:v>33.937400000001453</c:v>
                </c:pt>
                <c:pt idx="894">
                  <c:v>33.937500000001457</c:v>
                </c:pt>
                <c:pt idx="895">
                  <c:v>33.93760000000146</c:v>
                </c:pt>
                <c:pt idx="896">
                  <c:v>33.937700000001463</c:v>
                </c:pt>
                <c:pt idx="897">
                  <c:v>33.937800000001467</c:v>
                </c:pt>
                <c:pt idx="898">
                  <c:v>33.93790000000147</c:v>
                </c:pt>
                <c:pt idx="899">
                  <c:v>33.938000000001473</c:v>
                </c:pt>
                <c:pt idx="900">
                  <c:v>33.938100000001477</c:v>
                </c:pt>
                <c:pt idx="901">
                  <c:v>33.93820000000148</c:v>
                </c:pt>
                <c:pt idx="902">
                  <c:v>33.938300000001483</c:v>
                </c:pt>
                <c:pt idx="903">
                  <c:v>33.938400000001486</c:v>
                </c:pt>
                <c:pt idx="904">
                  <c:v>33.93850000000149</c:v>
                </c:pt>
                <c:pt idx="905">
                  <c:v>33.938600000001493</c:v>
                </c:pt>
                <c:pt idx="906">
                  <c:v>33.938700000001496</c:v>
                </c:pt>
                <c:pt idx="907">
                  <c:v>33.9388000000015</c:v>
                </c:pt>
                <c:pt idx="908">
                  <c:v>33.938900000001503</c:v>
                </c:pt>
                <c:pt idx="909">
                  <c:v>33.939000000001506</c:v>
                </c:pt>
                <c:pt idx="910">
                  <c:v>33.93910000000151</c:v>
                </c:pt>
                <c:pt idx="911">
                  <c:v>33.939200000001513</c:v>
                </c:pt>
                <c:pt idx="912">
                  <c:v>33.939300000001516</c:v>
                </c:pt>
                <c:pt idx="913">
                  <c:v>33.93940000000152</c:v>
                </c:pt>
                <c:pt idx="914">
                  <c:v>33.939500000001523</c:v>
                </c:pt>
                <c:pt idx="915">
                  <c:v>33.939600000001526</c:v>
                </c:pt>
                <c:pt idx="916">
                  <c:v>33.93970000000153</c:v>
                </c:pt>
                <c:pt idx="917">
                  <c:v>33.939800000001533</c:v>
                </c:pt>
                <c:pt idx="918">
                  <c:v>33.939900000001536</c:v>
                </c:pt>
                <c:pt idx="919">
                  <c:v>33.94000000000154</c:v>
                </c:pt>
                <c:pt idx="920">
                  <c:v>33.940100000001543</c:v>
                </c:pt>
                <c:pt idx="921">
                  <c:v>33.940200000001546</c:v>
                </c:pt>
                <c:pt idx="922">
                  <c:v>33.94030000000155</c:v>
                </c:pt>
                <c:pt idx="923">
                  <c:v>33.940400000001553</c:v>
                </c:pt>
                <c:pt idx="924">
                  <c:v>33.940500000001556</c:v>
                </c:pt>
                <c:pt idx="925">
                  <c:v>33.94060000000156</c:v>
                </c:pt>
                <c:pt idx="926">
                  <c:v>33.940700000001563</c:v>
                </c:pt>
                <c:pt idx="927">
                  <c:v>33.940800000001566</c:v>
                </c:pt>
                <c:pt idx="928">
                  <c:v>33.940900000001569</c:v>
                </c:pt>
                <c:pt idx="929">
                  <c:v>33.941000000001573</c:v>
                </c:pt>
                <c:pt idx="930">
                  <c:v>33.941100000001576</c:v>
                </c:pt>
                <c:pt idx="931">
                  <c:v>33.941200000001579</c:v>
                </c:pt>
                <c:pt idx="932">
                  <c:v>33.941300000001583</c:v>
                </c:pt>
                <c:pt idx="933">
                  <c:v>33.941400000001586</c:v>
                </c:pt>
                <c:pt idx="934">
                  <c:v>33.941500000001589</c:v>
                </c:pt>
                <c:pt idx="935">
                  <c:v>33.941600000001593</c:v>
                </c:pt>
                <c:pt idx="936">
                  <c:v>33.941700000001596</c:v>
                </c:pt>
                <c:pt idx="937">
                  <c:v>33.941800000001599</c:v>
                </c:pt>
                <c:pt idx="938">
                  <c:v>33.941900000001603</c:v>
                </c:pt>
                <c:pt idx="939">
                  <c:v>33.942000000001606</c:v>
                </c:pt>
                <c:pt idx="940">
                  <c:v>33.942100000001609</c:v>
                </c:pt>
                <c:pt idx="941">
                  <c:v>33.942200000001613</c:v>
                </c:pt>
                <c:pt idx="942">
                  <c:v>33.942300000001616</c:v>
                </c:pt>
                <c:pt idx="943">
                  <c:v>33.942400000001619</c:v>
                </c:pt>
                <c:pt idx="944">
                  <c:v>33.942500000001623</c:v>
                </c:pt>
                <c:pt idx="945">
                  <c:v>33.942600000001626</c:v>
                </c:pt>
                <c:pt idx="946">
                  <c:v>33.942700000001629</c:v>
                </c:pt>
                <c:pt idx="947">
                  <c:v>33.942800000001633</c:v>
                </c:pt>
                <c:pt idx="948">
                  <c:v>33.942900000001636</c:v>
                </c:pt>
                <c:pt idx="949">
                  <c:v>33.943000000001639</c:v>
                </c:pt>
                <c:pt idx="950">
                  <c:v>33.943100000001643</c:v>
                </c:pt>
                <c:pt idx="951">
                  <c:v>33.943200000001646</c:v>
                </c:pt>
                <c:pt idx="952">
                  <c:v>33.943300000001649</c:v>
                </c:pt>
                <c:pt idx="953">
                  <c:v>33.943400000001652</c:v>
                </c:pt>
                <c:pt idx="954">
                  <c:v>33.943500000001656</c:v>
                </c:pt>
                <c:pt idx="955">
                  <c:v>33.943600000001659</c:v>
                </c:pt>
                <c:pt idx="956">
                  <c:v>33.943700000001662</c:v>
                </c:pt>
                <c:pt idx="957">
                  <c:v>33.943800000001666</c:v>
                </c:pt>
                <c:pt idx="958">
                  <c:v>33.943900000001669</c:v>
                </c:pt>
                <c:pt idx="959">
                  <c:v>33.944000000001672</c:v>
                </c:pt>
                <c:pt idx="960">
                  <c:v>33.944100000001676</c:v>
                </c:pt>
                <c:pt idx="961">
                  <c:v>33.944200000001679</c:v>
                </c:pt>
                <c:pt idx="962">
                  <c:v>33.944300000001682</c:v>
                </c:pt>
                <c:pt idx="963">
                  <c:v>33.944400000001686</c:v>
                </c:pt>
                <c:pt idx="964">
                  <c:v>33.944500000001689</c:v>
                </c:pt>
                <c:pt idx="965">
                  <c:v>33.944600000001692</c:v>
                </c:pt>
                <c:pt idx="966">
                  <c:v>33.944700000001696</c:v>
                </c:pt>
                <c:pt idx="967">
                  <c:v>33.944800000001699</c:v>
                </c:pt>
                <c:pt idx="968">
                  <c:v>33.944900000001702</c:v>
                </c:pt>
                <c:pt idx="969">
                  <c:v>33.945000000001706</c:v>
                </c:pt>
                <c:pt idx="970">
                  <c:v>33.945100000001709</c:v>
                </c:pt>
                <c:pt idx="971">
                  <c:v>33.945200000001712</c:v>
                </c:pt>
                <c:pt idx="972">
                  <c:v>33.945300000001716</c:v>
                </c:pt>
                <c:pt idx="973">
                  <c:v>33.945400000001719</c:v>
                </c:pt>
                <c:pt idx="974">
                  <c:v>33.945500000001722</c:v>
                </c:pt>
                <c:pt idx="975">
                  <c:v>33.945600000001726</c:v>
                </c:pt>
                <c:pt idx="976">
                  <c:v>33.945700000001729</c:v>
                </c:pt>
                <c:pt idx="977">
                  <c:v>33.945800000001732</c:v>
                </c:pt>
                <c:pt idx="978">
                  <c:v>33.945900000001735</c:v>
                </c:pt>
                <c:pt idx="979">
                  <c:v>33.946000000001739</c:v>
                </c:pt>
                <c:pt idx="980">
                  <c:v>33.946100000001742</c:v>
                </c:pt>
                <c:pt idx="981">
                  <c:v>33.946200000001745</c:v>
                </c:pt>
                <c:pt idx="982">
                  <c:v>33.946300000001749</c:v>
                </c:pt>
                <c:pt idx="983">
                  <c:v>33.946400000001752</c:v>
                </c:pt>
                <c:pt idx="984">
                  <c:v>33.946500000001755</c:v>
                </c:pt>
                <c:pt idx="985">
                  <c:v>33.946600000001759</c:v>
                </c:pt>
                <c:pt idx="986">
                  <c:v>33.946700000001762</c:v>
                </c:pt>
                <c:pt idx="987">
                  <c:v>33.946800000001765</c:v>
                </c:pt>
                <c:pt idx="988">
                  <c:v>33.946900000001769</c:v>
                </c:pt>
                <c:pt idx="989">
                  <c:v>33.947000000001772</c:v>
                </c:pt>
                <c:pt idx="990">
                  <c:v>33.947100000001775</c:v>
                </c:pt>
                <c:pt idx="991">
                  <c:v>33.947200000001779</c:v>
                </c:pt>
                <c:pt idx="992">
                  <c:v>33.947300000001782</c:v>
                </c:pt>
                <c:pt idx="993">
                  <c:v>33.947400000001785</c:v>
                </c:pt>
                <c:pt idx="994">
                  <c:v>33.947500000001789</c:v>
                </c:pt>
                <c:pt idx="995">
                  <c:v>33.947600000001792</c:v>
                </c:pt>
                <c:pt idx="996">
                  <c:v>33.947700000001795</c:v>
                </c:pt>
                <c:pt idx="997">
                  <c:v>33.947800000001799</c:v>
                </c:pt>
                <c:pt idx="998">
                  <c:v>33.947900000001802</c:v>
                </c:pt>
                <c:pt idx="999">
                  <c:v>33.948000000001805</c:v>
                </c:pt>
                <c:pt idx="1000">
                  <c:v>33.948100000001808</c:v>
                </c:pt>
              </c:numCache>
            </c:numRef>
          </c:xVal>
          <c:yVal>
            <c:numRef>
              <c:f>Calculs!$W$4:$W$1004</c:f>
              <c:numCache>
                <c:formatCode>0.00</c:formatCode>
                <c:ptCount val="1001"/>
                <c:pt idx="0">
                  <c:v>0</c:v>
                </c:pt>
                <c:pt idx="1">
                  <c:v>1.1781457609435582E-4</c:v>
                </c:pt>
                <c:pt idx="2">
                  <c:v>4.6949741055588023E-3</c:v>
                </c:pt>
                <c:pt idx="3">
                  <c:v>2.3935824350604814E-2</c:v>
                </c:pt>
                <c:pt idx="4">
                  <c:v>5.6607427464264032E-2</c:v>
                </c:pt>
                <c:pt idx="5">
                  <c:v>0.10121671234184393</c:v>
                </c:pt>
                <c:pt idx="6">
                  <c:v>0.15776496779341012</c:v>
                </c:pt>
                <c:pt idx="7">
                  <c:v>0.22743036576781087</c:v>
                </c:pt>
                <c:pt idx="8">
                  <c:v>0.31052379570152477</c:v>
                </c:pt>
                <c:pt idx="9">
                  <c:v>0.40735881250151984</c:v>
                </c:pt>
                <c:pt idx="10">
                  <c:v>0.51825162669721092</c:v>
                </c:pt>
                <c:pt idx="11">
                  <c:v>0.64321745414047693</c:v>
                </c:pt>
                <c:pt idx="12">
                  <c:v>0.78214806771884038</c:v>
                </c:pt>
                <c:pt idx="13">
                  <c:v>0.93517654199880229</c:v>
                </c:pt>
                <c:pt idx="14">
                  <c:v>1.1024359795880527</c:v>
                </c:pt>
                <c:pt idx="15">
                  <c:v>1.2840594992025325</c:v>
                </c:pt>
                <c:pt idx="16">
                  <c:v>1.4801802236265964</c:v>
                </c:pt>
                <c:pt idx="17">
                  <c:v>1.6909312675672583</c:v>
                </c:pt>
                <c:pt idx="18">
                  <c:v>1.9164457254035265</c:v>
                </c:pt>
                <c:pt idx="19">
                  <c:v>2.1568566588318596</c:v>
                </c:pt>
                <c:pt idx="20">
                  <c:v>2.4122970844088334</c:v>
                </c:pt>
                <c:pt idx="21">
                  <c:v>2.6826510956091272</c:v>
                </c:pt>
                <c:pt idx="22">
                  <c:v>2.967750402885609</c:v>
                </c:pt>
                <c:pt idx="23">
                  <c:v>3.2676489774087463</c:v>
                </c:pt>
                <c:pt idx="24">
                  <c:v>3.5824001757093225</c:v>
                </c:pt>
                <c:pt idx="25">
                  <c:v>3.9120567324878714</c:v>
                </c:pt>
                <c:pt idx="26">
                  <c:v>4.2566707534600505</c:v>
                </c:pt>
                <c:pt idx="27">
                  <c:v>4.6162947800750445</c:v>
                </c:pt>
                <c:pt idx="28">
                  <c:v>4.9909809286793347</c:v>
                </c:pt>
                <c:pt idx="29">
                  <c:v>5.3807795627513375</c:v>
                </c:pt>
                <c:pt idx="30">
                  <c:v>5.7857403834384806</c:v>
                </c:pt>
                <c:pt idx="31">
                  <c:v>6.2059124229416822</c:v>
                </c:pt>
                <c:pt idx="32">
                  <c:v>6.6413440379277979</c:v>
                </c:pt>
                <c:pt idx="33">
                  <c:v>7.0920829029565535</c:v>
                </c:pt>
                <c:pt idx="34">
                  <c:v>7.5581760039271737</c:v>
                </c:pt>
                <c:pt idx="35">
                  <c:v>8.0396696315493053</c:v>
                </c:pt>
                <c:pt idx="36">
                  <c:v>8.5366093748424543</c:v>
                </c:pt>
                <c:pt idx="37">
                  <c:v>9.0490401146675694</c:v>
                </c:pt>
                <c:pt idx="38">
                  <c:v>9.5770060172942735</c:v>
                </c:pt>
                <c:pt idx="39">
                  <c:v>10.120550528006865</c:v>
                </c:pt>
                <c:pt idx="40">
                  <c:v>10.679716364751947</c:v>
                </c:pt>
                <c:pt idx="41">
                  <c:v>11.254148569415184</c:v>
                </c:pt>
                <c:pt idx="42">
                  <c:v>11.843449397288447</c:v>
                </c:pt>
                <c:pt idx="43">
                  <c:v>12.44759626014171</c:v>
                </c:pt>
                <c:pt idx="44">
                  <c:v>13.066565674378932</c:v>
                </c:pt>
                <c:pt idx="45">
                  <c:v>13.700333261965564</c:v>
                </c:pt>
                <c:pt idx="46">
                  <c:v>14.348873751460607</c:v>
                </c:pt>
                <c:pt idx="47">
                  <c:v>15.01216097915426</c:v>
                </c:pt>
                <c:pt idx="48">
                  <c:v>15.690167890311731</c:v>
                </c:pt>
                <c:pt idx="49">
                  <c:v>16.382866540523832</c:v>
                </c:pt>
                <c:pt idx="50">
                  <c:v>17.090228097164992</c:v>
                </c:pt>
                <c:pt idx="51">
                  <c:v>17.812222840959087</c:v>
                </c:pt>
                <c:pt idx="52">
                  <c:v>18.54882016765335</c:v>
                </c:pt>
                <c:pt idx="53">
                  <c:v>19.29998858980094</c:v>
                </c:pt>
                <c:pt idx="54">
                  <c:v>20.06569573865222</c:v>
                </c:pt>
                <c:pt idx="55">
                  <c:v>20.845908366154962</c:v>
                </c:pt>
                <c:pt idx="56">
                  <c:v>21.640592347063734</c:v>
                </c:pt>
                <c:pt idx="57">
                  <c:v>22.449712681158417</c:v>
                </c:pt>
                <c:pt idx="58">
                  <c:v>23.273233495571986</c:v>
                </c:pt>
                <c:pt idx="59">
                  <c:v>24.111118047227627</c:v>
                </c:pt>
                <c:pt idx="60">
                  <c:v>24.963328725384919</c:v>
                </c:pt>
                <c:pt idx="61">
                  <c:v>25.82982705429518</c:v>
                </c:pt>
                <c:pt idx="62">
                  <c:v>26.710573695965888</c:v>
                </c:pt>
                <c:pt idx="63">
                  <c:v>27.605528453033802</c:v>
                </c:pt>
                <c:pt idx="64">
                  <c:v>28.514650271746774</c:v>
                </c:pt>
                <c:pt idx="65">
                  <c:v>29.437897245053964</c:v>
                </c:pt>
                <c:pt idx="66">
                  <c:v>30.375226615804163</c:v>
                </c:pt>
                <c:pt idx="67">
                  <c:v>31.326594780051881</c:v>
                </c:pt>
                <c:pt idx="68">
                  <c:v>32.291957290471032</c:v>
                </c:pt>
                <c:pt idx="69">
                  <c:v>33.271268859875676</c:v>
                </c:pt>
                <c:pt idx="70">
                  <c:v>34.264483364847386</c:v>
                </c:pt>
                <c:pt idx="71">
                  <c:v>35.271553849469029</c:v>
                </c:pt>
                <c:pt idx="72">
                  <c:v>36.292432529164401</c:v>
                </c:pt>
                <c:pt idx="73">
                  <c:v>37.327070794642999</c:v>
                </c:pt>
                <c:pt idx="74">
                  <c:v>38.375419215949805</c:v>
                </c:pt>
                <c:pt idx="75">
                  <c:v>39.43742754661929</c:v>
                </c:pt>
                <c:pt idx="76">
                  <c:v>40.513044727933149</c:v>
                </c:pt>
                <c:pt idx="77">
                  <c:v>41.602218893281062</c:v>
                </c:pt>
                <c:pt idx="78">
                  <c:v>42.704897372623947</c:v>
                </c:pt>
                <c:pt idx="79">
                  <c:v>43.821026697059288</c:v>
                </c:pt>
                <c:pt idx="80">
                  <c:v>44.950552603487075</c:v>
                </c:pt>
                <c:pt idx="81">
                  <c:v>46.09260324670516</c:v>
                </c:pt>
                <c:pt idx="82">
                  <c:v>47.246263896053328</c:v>
                </c:pt>
                <c:pt idx="83">
                  <c:v>48.411415353590471</c:v>
                </c:pt>
                <c:pt idx="84">
                  <c:v>49.587937850112311</c:v>
                </c:pt>
                <c:pt idx="85">
                  <c:v>50.77571105866717</c:v>
                </c:pt>
                <c:pt idx="86">
                  <c:v>51.974614108122957</c:v>
                </c:pt>
                <c:pt idx="87">
                  <c:v>53.184525596782564</c:v>
                </c:pt>
                <c:pt idx="88">
                  <c:v>54.405323606045208</c:v>
                </c:pt>
                <c:pt idx="89">
                  <c:v>55.636885714110562</c:v>
                </c:pt>
                <c:pt idx="90">
                  <c:v>56.879089009723337</c:v>
                </c:pt>
                <c:pt idx="91">
                  <c:v>58.131404735242967</c:v>
                </c:pt>
                <c:pt idx="92">
                  <c:v>59.393285538102717</c:v>
                </c:pt>
                <c:pt idx="93">
                  <c:v>60.664580284886149</c:v>
                </c:pt>
                <c:pt idx="94">
                  <c:v>61.945137576963425</c:v>
                </c:pt>
                <c:pt idx="95">
                  <c:v>63.234805768134912</c:v>
                </c:pt>
                <c:pt idx="96">
                  <c:v>64.533432982252904</c:v>
                </c:pt>
                <c:pt idx="97">
                  <c:v>65.840867130818694</c:v>
                </c:pt>
                <c:pt idx="98">
                  <c:v>67.156955930550851</c:v>
                </c:pt>
                <c:pt idx="99">
                  <c:v>68.481546920921346</c:v>
                </c:pt>
                <c:pt idx="100">
                  <c:v>69.814487481656215</c:v>
                </c:pt>
                <c:pt idx="101">
                  <c:v>71.155553104578743</c:v>
                </c:pt>
                <c:pt idx="102">
                  <c:v>72.504516355200025</c:v>
                </c:pt>
                <c:pt idx="103">
                  <c:v>73.861220108509301</c:v>
                </c:pt>
                <c:pt idx="104">
                  <c:v>75.225507182830569</c:v>
                </c:pt>
                <c:pt idx="105">
                  <c:v>76.597220357652034</c:v>
                </c:pt>
                <c:pt idx="106">
                  <c:v>77.976202391390075</c:v>
                </c:pt>
                <c:pt idx="107">
                  <c:v>79.362296039085038</c:v>
                </c:pt>
                <c:pt idx="108">
                  <c:v>80.755344070024776</c:v>
                </c:pt>
                <c:pt idx="109">
                  <c:v>82.155189285293162</c:v>
                </c:pt>
                <c:pt idx="110">
                  <c:v>83.561674535239987</c:v>
                </c:pt>
                <c:pt idx="111">
                  <c:v>84.975545500769613</c:v>
                </c:pt>
                <c:pt idx="112">
                  <c:v>86.397578989877729</c:v>
                </c:pt>
                <c:pt idx="113">
                  <c:v>87.827663743580189</c:v>
                </c:pt>
                <c:pt idx="114">
                  <c:v>89.265688259518029</c:v>
                </c:pt>
                <c:pt idx="115">
                  <c:v>90.71154080335883</c:v>
                </c:pt>
                <c:pt idx="116">
                  <c:v>92.165109420193076</c:v>
                </c:pt>
                <c:pt idx="117">
                  <c:v>93.626281945924319</c:v>
                </c:pt>
                <c:pt idx="118">
                  <c:v>95.094946018650447</c:v>
                </c:pt>
                <c:pt idx="119">
                  <c:v>96.570989090034644</c:v>
                </c:pt>
                <c:pt idx="120">
                  <c:v>98.054298436663757</c:v>
                </c:pt>
                <c:pt idx="121">
                  <c:v>99.543140573659102</c:v>
                </c:pt>
                <c:pt idx="122">
                  <c:v>101.03573190940875</c:v>
                </c:pt>
                <c:pt idx="123">
                  <c:v>102.53188615501462</c:v>
                </c:pt>
                <c:pt idx="124">
                  <c:v>104.03141760694534</c:v>
                </c:pt>
                <c:pt idx="125">
                  <c:v>105.53414116690629</c:v>
                </c:pt>
                <c:pt idx="126">
                  <c:v>107.03987236149753</c:v>
                </c:pt>
                <c:pt idx="127">
                  <c:v>108.54842736165601</c:v>
                </c:pt>
                <c:pt idx="128">
                  <c:v>110.05962300188001</c:v>
                </c:pt>
                <c:pt idx="129">
                  <c:v>111.5732767992325</c:v>
                </c:pt>
                <c:pt idx="130">
                  <c:v>113.08920697212041</c:v>
                </c:pt>
                <c:pt idx="131">
                  <c:v>114.60677725494357</c:v>
                </c:pt>
                <c:pt idx="132">
                  <c:v>116.12533979341195</c:v>
                </c:pt>
                <c:pt idx="133">
                  <c:v>117.64469711390616</c:v>
                </c:pt>
                <c:pt idx="134">
                  <c:v>119.16465277259206</c:v>
                </c:pt>
                <c:pt idx="135">
                  <c:v>120.68501137496114</c:v>
                </c:pt>
                <c:pt idx="136">
                  <c:v>122.20557859506181</c:v>
                </c:pt>
                <c:pt idx="137">
                  <c:v>123.72616119441986</c:v>
                </c:pt>
                <c:pt idx="138">
                  <c:v>125.24656704064547</c:v>
                </c:pt>
                <c:pt idx="139">
                  <c:v>126.76660512572526</c:v>
                </c:pt>
                <c:pt idx="140">
                  <c:v>128.28608558399719</c:v>
                </c:pt>
                <c:pt idx="141">
                  <c:v>129.79902844048834</c:v>
                </c:pt>
                <c:pt idx="142">
                  <c:v>131.29931837203699</c:v>
                </c:pt>
                <c:pt idx="143">
                  <c:v>132.78657337347224</c:v>
                </c:pt>
                <c:pt idx="144">
                  <c:v>134.26041765603998</c:v>
                </c:pt>
                <c:pt idx="145">
                  <c:v>135.72048168005057</c:v>
                </c:pt>
                <c:pt idx="146">
                  <c:v>137.16640218560914</c:v>
                </c:pt>
                <c:pt idx="147">
                  <c:v>138.5978222214421</c:v>
                </c:pt>
                <c:pt idx="148">
                  <c:v>140.0143911718331</c:v>
                </c:pt>
                <c:pt idx="149">
                  <c:v>141.41576478168361</c:v>
                </c:pt>
                <c:pt idx="150">
                  <c:v>142.80160517971149</c:v>
                </c:pt>
                <c:pt idx="151">
                  <c:v>144.17158089980552</c:v>
                </c:pt>
                <c:pt idx="152">
                  <c:v>145.52536690055078</c:v>
                </c:pt>
                <c:pt idx="153">
                  <c:v>146.86264458294232</c:v>
                </c:pt>
                <c:pt idx="154">
                  <c:v>148.18310180630576</c:v>
                </c:pt>
                <c:pt idx="155">
                  <c:v>149.48643290244183</c:v>
                </c:pt>
                <c:pt idx="156">
                  <c:v>150.74279587610425</c:v>
                </c:pt>
                <c:pt idx="157">
                  <c:v>151.92188567127994</c:v>
                </c:pt>
                <c:pt idx="158">
                  <c:v>153.02279416693122</c:v>
                </c:pt>
                <c:pt idx="159">
                  <c:v>154.0446897561601</c:v>
                </c:pt>
                <c:pt idx="160">
                  <c:v>154.98681716922152</c:v>
                </c:pt>
                <c:pt idx="161">
                  <c:v>155.81032208196427</c:v>
                </c:pt>
                <c:pt idx="162">
                  <c:v>156.47611300009203</c:v>
                </c:pt>
                <c:pt idx="163">
                  <c:v>156.9870322019955</c:v>
                </c:pt>
                <c:pt idx="164">
                  <c:v>157.34620483629826</c:v>
                </c:pt>
                <c:pt idx="165">
                  <c:v>157.59001717696151</c:v>
                </c:pt>
                <c:pt idx="166">
                  <c:v>157.75508333703416</c:v>
                </c:pt>
                <c:pt idx="167">
                  <c:v>157.8135332167866</c:v>
                </c:pt>
                <c:pt idx="168">
                  <c:v>157.75780154376207</c:v>
                </c:pt>
                <c:pt idx="169">
                  <c:v>157.53064345656065</c:v>
                </c:pt>
                <c:pt idx="170">
                  <c:v>157.11561323736944</c:v>
                </c:pt>
                <c:pt idx="171">
                  <c:v>156.63809171692509</c:v>
                </c:pt>
                <c:pt idx="172">
                  <c:v>156.16234340443884</c:v>
                </c:pt>
                <c:pt idx="173">
                  <c:v>155.68835958590464</c:v>
                </c:pt>
                <c:pt idx="174">
                  <c:v>155.21613160139657</c:v>
                </c:pt>
                <c:pt idx="175">
                  <c:v>154.74565084466551</c:v>
                </c:pt>
                <c:pt idx="176">
                  <c:v>154.27690876273914</c:v>
                </c:pt>
                <c:pt idx="177">
                  <c:v>153.80989685552447</c:v>
                </c:pt>
                <c:pt idx="178">
                  <c:v>153.34460667541512</c:v>
                </c:pt>
                <c:pt idx="179">
                  <c:v>152.8810298269012</c:v>
                </c:pt>
                <c:pt idx="180">
                  <c:v>152.41915796618326</c:v>
                </c:pt>
                <c:pt idx="181">
                  <c:v>151.95898280078831</c:v>
                </c:pt>
                <c:pt idx="182">
                  <c:v>151.50049608919076</c:v>
                </c:pt>
                <c:pt idx="183">
                  <c:v>151.04368964043584</c:v>
                </c:pt>
                <c:pt idx="184">
                  <c:v>150.5885553137658</c:v>
                </c:pt>
                <c:pt idx="185">
                  <c:v>150.13508501825007</c:v>
                </c:pt>
                <c:pt idx="186">
                  <c:v>149.68327071241924</c:v>
                </c:pt>
                <c:pt idx="187">
                  <c:v>149.2331044038998</c:v>
                </c:pt>
                <c:pt idx="188">
                  <c:v>148.78457814905497</c:v>
                </c:pt>
                <c:pt idx="189">
                  <c:v>148.33768405262632</c:v>
                </c:pt>
                <c:pt idx="190">
                  <c:v>147.89241426737976</c:v>
                </c:pt>
                <c:pt idx="191">
                  <c:v>147.44876099375426</c:v>
                </c:pt>
                <c:pt idx="192">
                  <c:v>147.00671647951316</c:v>
                </c:pt>
                <c:pt idx="193">
                  <c:v>146.56627301939889</c:v>
                </c:pt>
                <c:pt idx="194">
                  <c:v>146.1274229547906</c:v>
                </c:pt>
                <c:pt idx="195">
                  <c:v>145.69015867336472</c:v>
                </c:pt>
                <c:pt idx="196">
                  <c:v>145.25447260875796</c:v>
                </c:pt>
                <c:pt idx="197">
                  <c:v>144.82035724023382</c:v>
                </c:pt>
                <c:pt idx="198">
                  <c:v>144.38780509235173</c:v>
                </c:pt>
                <c:pt idx="199">
                  <c:v>143.95680873463874</c:v>
                </c:pt>
                <c:pt idx="200">
                  <c:v>143.52736078126392</c:v>
                </c:pt>
                <c:pt idx="201">
                  <c:v>139.28241025222016</c:v>
                </c:pt>
                <c:pt idx="202">
                  <c:v>135.18736540539183</c:v>
                </c:pt>
                <c:pt idx="203">
                  <c:v>131.23530474026487</c:v>
                </c:pt>
                <c:pt idx="204">
                  <c:v>127.41970727101611</c:v>
                </c:pt>
                <c:pt idx="205">
                  <c:v>123.73442490803389</c:v>
                </c:pt>
                <c:pt idx="206">
                  <c:v>120.17365704604703</c:v>
                </c:pt>
                <c:pt idx="207">
                  <c:v>116.73192715902164</c:v>
                </c:pt>
                <c:pt idx="208">
                  <c:v>113.40406122216619</c:v>
                </c:pt>
                <c:pt idx="209">
                  <c:v>110.18516779933007</c:v>
                </c:pt>
                <c:pt idx="210">
                  <c:v>107.07061965004608</c:v>
                </c:pt>
                <c:pt idx="211">
                  <c:v>104.05603672469931</c:v>
                </c:pt>
                <c:pt idx="212">
                  <c:v>101.13727042900686</c:v>
                </c:pt>
                <c:pt idx="213">
                  <c:v>98.310389050339367</c:v>
                </c:pt>
                <c:pt idx="214">
                  <c:v>95.571664248573811</c:v>
                </c:pt>
                <c:pt idx="215">
                  <c:v>92.917558523262741</c:v>
                </c:pt>
                <c:pt idx="216">
                  <c:v>90.344713577066017</c:v>
                </c:pt>
                <c:pt idx="217">
                  <c:v>87.849939502719295</c:v>
                </c:pt>
                <c:pt idx="218">
                  <c:v>85.430204727404529</c:v>
                </c:pt>
                <c:pt idx="219">
                  <c:v>83.082626654315135</c:v>
                </c:pt>
                <c:pt idx="220">
                  <c:v>80.804462946557393</c:v>
                </c:pt>
                <c:pt idx="221">
                  <c:v>78.593103403347541</c:v>
                </c:pt>
                <c:pt idx="222">
                  <c:v>76.446062382820443</c:v>
                </c:pt>
                <c:pt idx="223">
                  <c:v>74.3609717297023</c:v>
                </c:pt>
                <c:pt idx="224">
                  <c:v>72.335574169660248</c:v>
                </c:pt>
                <c:pt idx="225">
                  <c:v>70.367717135372303</c:v>
                </c:pt>
                <c:pt idx="226">
                  <c:v>68.455346992283395</c:v>
                </c:pt>
                <c:pt idx="227">
                  <c:v>66.596503634673226</c:v>
                </c:pt>
                <c:pt idx="228">
                  <c:v>64.789315425072061</c:v>
                </c:pt>
                <c:pt idx="229">
                  <c:v>63.031994452256633</c:v>
                </c:pt>
                <c:pt idx="230">
                  <c:v>61.322832085054984</c:v>
                </c:pt>
                <c:pt idx="231">
                  <c:v>59.660194801008956</c:v>
                </c:pt>
                <c:pt idx="232">
                  <c:v>58.042520270602509</c:v>
                </c:pt>
                <c:pt idx="233">
                  <c:v>56.468313679277905</c:v>
                </c:pt>
                <c:pt idx="234">
                  <c:v>54.936144270844949</c:v>
                </c:pt>
                <c:pt idx="235">
                  <c:v>53.444642097153071</c:v>
                </c:pt>
                <c:pt idx="236">
                  <c:v>51.99249496005185</c:v>
                </c:pt>
                <c:pt idx="237">
                  <c:v>50.578445532726271</c:v>
                </c:pt>
                <c:pt idx="238">
                  <c:v>49.201288648461421</c:v>
                </c:pt>
                <c:pt idx="239">
                  <c:v>47.85986874578289</c:v>
                </c:pt>
                <c:pt idx="240">
                  <c:v>46.553077459735604</c:v>
                </c:pt>
                <c:pt idx="241">
                  <c:v>45.279851349812901</c:v>
                </c:pt>
                <c:pt idx="242">
                  <c:v>44.039169755738818</c:v>
                </c:pt>
                <c:pt idx="243">
                  <c:v>42.830052772939013</c:v>
                </c:pt>
                <c:pt idx="244">
                  <c:v>41.651559340120777</c:v>
                </c:pt>
                <c:pt idx="245">
                  <c:v>40.502785431918781</c:v>
                </c:pt>
                <c:pt idx="246">
                  <c:v>39.382862350060428</c:v>
                </c:pt>
                <c:pt idx="247">
                  <c:v>38.2909551069598</c:v>
                </c:pt>
                <c:pt idx="248">
                  <c:v>37.226260896072056</c:v>
                </c:pt>
                <c:pt idx="249">
                  <c:v>36.188007643729847</c:v>
                </c:pt>
                <c:pt idx="250">
                  <c:v>35.175452637542008</c:v>
                </c:pt>
                <c:pt idx="251">
                  <c:v>34.187881226769051</c:v>
                </c:pt>
                <c:pt idx="252">
                  <c:v>33.224605590396806</c:v>
                </c:pt>
                <c:pt idx="253">
                  <c:v>32.284963568915565</c:v>
                </c:pt>
                <c:pt idx="254">
                  <c:v>31.368317556075276</c:v>
                </c:pt>
                <c:pt idx="255">
                  <c:v>30.474053447133233</c:v>
                </c:pt>
                <c:pt idx="256">
                  <c:v>29.601579640336581</c:v>
                </c:pt>
                <c:pt idx="257">
                  <c:v>28.750326088593742</c:v>
                </c:pt>
                <c:pt idx="258">
                  <c:v>27.919743398483963</c:v>
                </c:pt>
                <c:pt idx="259">
                  <c:v>27.10930197393575</c:v>
                </c:pt>
                <c:pt idx="260">
                  <c:v>26.318491202074672</c:v>
                </c:pt>
                <c:pt idx="261">
                  <c:v>25.546818678897299</c:v>
                </c:pt>
                <c:pt idx="262">
                  <c:v>24.793809472574861</c:v>
                </c:pt>
                <c:pt idx="263">
                  <c:v>24.05900542232607</c:v>
                </c:pt>
                <c:pt idx="264">
                  <c:v>23.34196447092538</c:v>
                </c:pt>
                <c:pt idx="265">
                  <c:v>22.64226002903121</c:v>
                </c:pt>
                <c:pt idx="266">
                  <c:v>21.959480369628739</c:v>
                </c:pt>
                <c:pt idx="267">
                  <c:v>21.293228050984709</c:v>
                </c:pt>
                <c:pt idx="268">
                  <c:v>20.643119366607536</c:v>
                </c:pt>
                <c:pt idx="269">
                  <c:v>20.008783820795742</c:v>
                </c:pt>
                <c:pt idx="270">
                  <c:v>19.389863628441137</c:v>
                </c:pt>
                <c:pt idx="271">
                  <c:v>18.786013237831458</c:v>
                </c:pt>
                <c:pt idx="272">
                  <c:v>18.196898875270403</c:v>
                </c:pt>
                <c:pt idx="273">
                  <c:v>17.622198110401051</c:v>
                </c:pt>
                <c:pt idx="274">
                  <c:v>17.061599441182789</c:v>
                </c:pt>
                <c:pt idx="275">
                  <c:v>16.514801897531804</c:v>
                </c:pt>
                <c:pt idx="276">
                  <c:v>15.981514662690781</c:v>
                </c:pt>
                <c:pt idx="277">
                  <c:v>15.461456711446543</c:v>
                </c:pt>
                <c:pt idx="278">
                  <c:v>14.954356464363071</c:v>
                </c:pt>
                <c:pt idx="279">
                  <c:v>14.459951457243342</c:v>
                </c:pt>
                <c:pt idx="280">
                  <c:v>13.977988025077044</c:v>
                </c:pt>
                <c:pt idx="281">
                  <c:v>13.508220999771092</c:v>
                </c:pt>
                <c:pt idx="282">
                  <c:v>13.050413420998147</c:v>
                </c:pt>
                <c:pt idx="283">
                  <c:v>12.604336259533772</c:v>
                </c:pt>
                <c:pt idx="284">
                  <c:v>12.169768152486032</c:v>
                </c:pt>
                <c:pt idx="285">
                  <c:v>11.74649514985277</c:v>
                </c:pt>
                <c:pt idx="286">
                  <c:v>11.334310471870712</c:v>
                </c:pt>
                <c:pt idx="287">
                  <c:v>10.933014276648192</c:v>
                </c:pt>
                <c:pt idx="288">
                  <c:v>10.542413437598663</c:v>
                </c:pt>
                <c:pt idx="289">
                  <c:v>10.16232133021621</c:v>
                </c:pt>
                <c:pt idx="290">
                  <c:v>9.7925576277564481</c:v>
                </c:pt>
                <c:pt idx="291">
                  <c:v>9.4329481054072684</c:v>
                </c:pt>
                <c:pt idx="292">
                  <c:v>9.0833244525529224</c:v>
                </c:pt>
                <c:pt idx="293">
                  <c:v>8.7435240927531357</c:v>
                </c:pt>
                <c:pt idx="294">
                  <c:v>8.4133900110755242</c:v>
                </c:pt>
                <c:pt idx="295">
                  <c:v>8.0927705884347567</c:v>
                </c:pt>
                <c:pt idx="296">
                  <c:v>7.7815194426061431</c:v>
                </c:pt>
                <c:pt idx="297">
                  <c:v>7.4794952755939219</c:v>
                </c:pt>
                <c:pt idx="298">
                  <c:v>7.1865617270462341</c:v>
                </c:pt>
                <c:pt idx="299">
                  <c:v>6.9025872334188652</c:v>
                </c:pt>
                <c:pt idx="300">
                  <c:v>6.627444892599109</c:v>
                </c:pt>
                <c:pt idx="301">
                  <c:v>6.3610123337088291</c:v>
                </c:pt>
                <c:pt idx="302">
                  <c:v>6.1031715918122433</c:v>
                </c:pt>
                <c:pt idx="303">
                  <c:v>5.8538089872594075</c:v>
                </c:pt>
                <c:pt idx="304">
                  <c:v>5.6128150094000535</c:v>
                </c:pt>
                <c:pt idx="305">
                  <c:v>5.3800842044051258</c:v>
                </c:pt>
                <c:pt idx="306">
                  <c:v>5.1555150669342824</c:v>
                </c:pt>
                <c:pt idx="307">
                  <c:v>4.9390099353873218</c:v>
                </c:pt>
                <c:pt idx="308">
                  <c:v>4.730474890475433</c:v>
                </c:pt>
                <c:pt idx="309">
                  <c:v>4.5298196568445821</c:v>
                </c:pt>
                <c:pt idx="310">
                  <c:v>4.3369575074780844</c:v>
                </c:pt>
                <c:pt idx="311">
                  <c:v>4.1518051705983954</c:v>
                </c:pt>
                <c:pt idx="312">
                  <c:v>3.974282738779396</c:v>
                </c:pt>
                <c:pt idx="313">
                  <c:v>3.804313579970072</c:v>
                </c:pt>
                <c:pt idx="314">
                  <c:v>3.6418242501181752</c:v>
                </c:pt>
                <c:pt idx="315">
                  <c:v>3.486744407069025</c:v>
                </c:pt>
                <c:pt idx="316">
                  <c:v>3.3390067253992446</c:v>
                </c:pt>
                <c:pt idx="317">
                  <c:v>3.1985468118295119</c:v>
                </c:pt>
                <c:pt idx="318">
                  <c:v>3.0653031208434949</c:v>
                </c:pt>
                <c:pt idx="319">
                  <c:v>2.9392168701237642</c:v>
                </c:pt>
                <c:pt idx="320">
                  <c:v>2.8202319553997754</c:v>
                </c:pt>
                <c:pt idx="321">
                  <c:v>2.7082948642893951</c:v>
                </c:pt>
                <c:pt idx="322">
                  <c:v>2.603354588705209</c:v>
                </c:pt>
                <c:pt idx="323">
                  <c:v>2.5053625353915452</c:v>
                </c:pt>
                <c:pt idx="324">
                  <c:v>2.4142724341598689</c:v>
                </c:pt>
                <c:pt idx="325">
                  <c:v>2.3300402434008833</c:v>
                </c:pt>
                <c:pt idx="326">
                  <c:v>2.252624052473819</c:v>
                </c:pt>
                <c:pt idx="327">
                  <c:v>2.1819839806092518</c:v>
                </c:pt>
                <c:pt idx="328">
                  <c:v>2.1180820720135545</c:v>
                </c:pt>
                <c:pt idx="329">
                  <c:v>2.0608821869325418</c:v>
                </c:pt>
                <c:pt idx="330">
                  <c:v>2.0103498885200883</c:v>
                </c:pt>
                <c:pt idx="331">
                  <c:v>1.9664523254644997</c:v>
                </c:pt>
                <c:pt idx="332">
                  <c:v>1.9291581104497995</c:v>
                </c:pt>
                <c:pt idx="333">
                  <c:v>1.8984371946680179</c:v>
                </c:pt>
                <c:pt idx="334">
                  <c:v>1.874260738747245</c:v>
                </c:pt>
                <c:pt idx="335">
                  <c:v>1.8566009806122472</c:v>
                </c:pt>
                <c:pt idx="336">
                  <c:v>1.8454311009422502</c:v>
                </c:pt>
                <c:pt idx="337">
                  <c:v>1.8407250870252814</c:v>
                </c:pt>
                <c:pt idx="338">
                  <c:v>1.8424575959217702</c:v>
                </c:pt>
                <c:pt idx="339">
                  <c:v>1.8506038179340716</c:v>
                </c:pt>
                <c:pt idx="340">
                  <c:v>1.86513934142708</c:v>
                </c:pt>
                <c:pt idx="341">
                  <c:v>1.8860400200546545</c:v>
                </c:pt>
                <c:pt idx="342">
                  <c:v>1.9132818434163192</c:v>
                </c:pt>
                <c:pt idx="343">
                  <c:v>1.946840812101118</c:v>
                </c:pt>
                <c:pt idx="344">
                  <c:v>1.9866928179756633</c:v>
                </c:pt>
                <c:pt idx="345">
                  <c:v>2.0328135304482857</c:v>
                </c:pt>
                <c:pt idx="346">
                  <c:v>2.0851782892995012</c:v>
                </c:pt>
                <c:pt idx="347">
                  <c:v>2.1437620045193198</c:v>
                </c:pt>
                <c:pt idx="348">
                  <c:v>2.208539063442525</c:v>
                </c:pt>
                <c:pt idx="349">
                  <c:v>2.2794832453311744</c:v>
                </c:pt>
                <c:pt idx="350">
                  <c:v>2.3565676434246217</c:v>
                </c:pt>
                <c:pt idx="351">
                  <c:v>2.4397645943651494</c:v>
                </c:pt>
                <c:pt idx="352">
                  <c:v>2.5290456148138669</c:v>
                </c:pt>
                <c:pt idx="353">
                  <c:v>2.6243813449974227</c:v>
                </c:pt>
                <c:pt idx="354">
                  <c:v>2.7257414988705895</c:v>
                </c:pt>
                <c:pt idx="355">
                  <c:v>2.8330948205414308</c:v>
                </c:pt>
                <c:pt idx="356">
                  <c:v>2.9464090465823927</c:v>
                </c:pt>
                <c:pt idx="357">
                  <c:v>3.0656508738400201</c:v>
                </c:pt>
                <c:pt idx="358">
                  <c:v>3.1907859323555541</c:v>
                </c:pt>
                <c:pt idx="359">
                  <c:v>3.3217787630163285</c:v>
                </c:pt>
                <c:pt idx="360">
                  <c:v>3.4585927995714236</c:v>
                </c:pt>
                <c:pt idx="361">
                  <c:v>3.6011903546627901</c:v>
                </c:pt>
                <c:pt idx="362">
                  <c:v>3.7495326095434454</c:v>
                </c:pt>
                <c:pt idx="363">
                  <c:v>3.9035796071763453</c:v>
                </c:pt>
                <c:pt idx="364">
                  <c:v>4.0632902484298574</c:v>
                </c:pt>
                <c:pt idx="365">
                  <c:v>4.2286222911082261</c:v>
                </c:pt>
                <c:pt idx="366">
                  <c:v>4.399532351576898</c:v>
                </c:pt>
                <c:pt idx="367">
                  <c:v>4.575975908763251</c:v>
                </c:pt>
                <c:pt idx="368">
                  <c:v>4.7579073103325999</c:v>
                </c:pt>
                <c:pt idx="369">
                  <c:v>4.9452797808572759</c:v>
                </c:pt>
                <c:pt idx="370">
                  <c:v>5.1380454318131159</c:v>
                </c:pt>
                <c:pt idx="371">
                  <c:v>5.3361552732528388</c:v>
                </c:pt>
                <c:pt idx="372">
                  <c:v>5.5395592270193399</c:v>
                </c:pt>
                <c:pt idx="373">
                  <c:v>5.7482061413744736</c:v>
                </c:pt>
                <c:pt idx="374">
                  <c:v>5.9620438069299286</c:v>
                </c:pt>
                <c:pt idx="375">
                  <c:v>6.1810189737767489</c:v>
                </c:pt>
                <c:pt idx="376">
                  <c:v>6.4050773697191028</c:v>
                </c:pt>
                <c:pt idx="377">
                  <c:v>6.6341637195257022</c:v>
                </c:pt>
                <c:pt idx="378">
                  <c:v>6.8682217651195687</c:v>
                </c:pt>
                <c:pt idx="379">
                  <c:v>7.1071942866329501</c:v>
                </c:pt>
                <c:pt idx="380">
                  <c:v>7.3510231242599433</c:v>
                </c:pt>
                <c:pt idx="381">
                  <c:v>7.5996492008444498</c:v>
                </c:pt>
                <c:pt idx="382">
                  <c:v>7.8530125451452575</c:v>
                </c:pt>
                <c:pt idx="383">
                  <c:v>8.111052315724347</c:v>
                </c:pt>
                <c:pt idx="384">
                  <c:v>8.3737068254077691</c:v>
                </c:pt>
                <c:pt idx="385">
                  <c:v>8.6409135662717453</c:v>
                </c:pt>
                <c:pt idx="386">
                  <c:v>8.9126092351093167</c:v>
                </c:pt>
                <c:pt idx="387">
                  <c:v>9.1887297593355175</c:v>
                </c:pt>
                <c:pt idx="388">
                  <c:v>9.4692103232911293</c:v>
                </c:pt>
                <c:pt idx="389">
                  <c:v>9.753985394907275</c:v>
                </c:pt>
                <c:pt idx="390">
                  <c:v>10.042988752694656</c:v>
                </c:pt>
                <c:pt idx="391">
                  <c:v>10.33615351302328</c:v>
                </c:pt>
                <c:pt idx="392">
                  <c:v>10.633412157659468</c:v>
                </c:pt>
                <c:pt idx="393">
                  <c:v>10.934696561528899</c:v>
                </c:pt>
                <c:pt idx="394">
                  <c:v>11.239938020675128</c:v>
                </c:pt>
                <c:pt idx="395">
                  <c:v>11.549067280384508</c:v>
                </c:pt>
                <c:pt idx="396">
                  <c:v>11.862014563449318</c:v>
                </c:pt>
                <c:pt idx="397">
                  <c:v>12.178709598541962</c:v>
                </c:pt>
                <c:pt idx="398">
                  <c:v>12.499081648673895</c:v>
                </c:pt>
                <c:pt idx="399">
                  <c:v>12.823059539713917</c:v>
                </c:pt>
                <c:pt idx="400">
                  <c:v>13.150571688941058</c:v>
                </c:pt>
                <c:pt idx="401">
                  <c:v>13.481546133608354</c:v>
                </c:pt>
                <c:pt idx="402">
                  <c:v>13.815910559494105</c:v>
                </c:pt>
                <c:pt idx="403">
                  <c:v>14.153592329418275</c:v>
                </c:pt>
                <c:pt idx="404">
                  <c:v>14.494518511702083</c:v>
                </c:pt>
                <c:pt idx="405">
                  <c:v>14.838615908549638</c:v>
                </c:pt>
                <c:pt idx="406">
                  <c:v>15.185811084330917</c:v>
                </c:pt>
                <c:pt idx="407">
                  <c:v>15.53603039374612</c:v>
                </c:pt>
                <c:pt idx="408">
                  <c:v>15.88920000985202</c:v>
                </c:pt>
                <c:pt idx="409">
                  <c:v>16.245245951931182</c:v>
                </c:pt>
                <c:pt idx="410">
                  <c:v>16.604094113186171</c:v>
                </c:pt>
                <c:pt idx="411">
                  <c:v>16.965670288240489</c:v>
                </c:pt>
                <c:pt idx="412">
                  <c:v>17.329900200429407</c:v>
                </c:pt>
                <c:pt idx="413">
                  <c:v>17.696709528863735</c:v>
                </c:pt>
                <c:pt idx="414">
                  <c:v>18.066023935250588</c:v>
                </c:pt>
                <c:pt idx="415">
                  <c:v>18.437769090455344</c:v>
                </c:pt>
                <c:pt idx="416">
                  <c:v>18.811870700789733</c:v>
                </c:pt>
                <c:pt idx="417">
                  <c:v>19.18825453401163</c:v>
                </c:pt>
                <c:pt idx="418">
                  <c:v>19.566846445022197</c:v>
                </c:pt>
                <c:pt idx="419">
                  <c:v>19.947572401247012</c:v>
                </c:pt>
                <c:pt idx="420">
                  <c:v>20.330358507688292</c:v>
                </c:pt>
                <c:pt idx="421">
                  <c:v>20.715131031635266</c:v>
                </c:pt>
                <c:pt idx="422">
                  <c:v>21.101816427021173</c:v>
                </c:pt>
                <c:pt idx="423">
                  <c:v>21.490341358415019</c:v>
                </c:pt>
                <c:pt idx="424">
                  <c:v>21.880632724637376</c:v>
                </c:pt>
                <c:pt idx="425">
                  <c:v>22.272617681989463</c:v>
                </c:pt>
                <c:pt idx="426">
                  <c:v>22.666223667085902</c:v>
                </c:pt>
                <c:pt idx="427">
                  <c:v>23.061378419281247</c:v>
                </c:pt>
                <c:pt idx="428">
                  <c:v>23.458010002681689</c:v>
                </c:pt>
                <c:pt idx="429">
                  <c:v>23.856046827733259</c:v>
                </c:pt>
                <c:pt idx="430">
                  <c:v>24.255417672378531</c:v>
                </c:pt>
                <c:pt idx="431">
                  <c:v>24.65605170277448</c:v>
                </c:pt>
                <c:pt idx="432">
                  <c:v>25.057878493564402</c:v>
                </c:pt>
                <c:pt idx="433">
                  <c:v>25.460828047697369</c:v>
                </c:pt>
                <c:pt idx="434">
                  <c:v>25.864830815789183</c:v>
                </c:pt>
                <c:pt idx="435">
                  <c:v>26.269817715019354</c:v>
                </c:pt>
                <c:pt idx="436">
                  <c:v>26.675720147558845</c:v>
                </c:pt>
                <c:pt idx="437">
                  <c:v>27.082470018524283</c:v>
                </c:pt>
                <c:pt idx="438">
                  <c:v>27.489999753453919</c:v>
                </c:pt>
                <c:pt idx="439">
                  <c:v>27.898242315302319</c:v>
                </c:pt>
                <c:pt idx="440">
                  <c:v>28.307131220949991</c:v>
                </c:pt>
                <c:pt idx="441">
                  <c:v>28.716600557225302</c:v>
                </c:pt>
                <c:pt idx="442">
                  <c:v>29.126584996436485</c:v>
                </c:pt>
                <c:pt idx="443">
                  <c:v>29.537019811411469</c:v>
                </c:pt>
                <c:pt idx="444">
                  <c:v>29.947840890044276</c:v>
                </c:pt>
                <c:pt idx="445">
                  <c:v>30.358984749346774</c:v>
                </c:pt>
                <c:pt idx="446">
                  <c:v>30.770388549005066</c:v>
                </c:pt>
                <c:pt idx="447">
                  <c:v>31.181990104440249</c:v>
                </c:pt>
                <c:pt idx="448">
                  <c:v>31.593727899373555</c:v>
                </c:pt>
                <c:pt idx="449">
                  <c:v>32.005541097896582</c:v>
                </c:pt>
                <c:pt idx="450">
                  <c:v>32.417369556047113</c:v>
                </c:pt>
                <c:pt idx="451">
                  <c:v>32.829153832892075</c:v>
                </c:pt>
                <c:pt idx="452">
                  <c:v>33.240835201118983</c:v>
                </c:pt>
                <c:pt idx="453">
                  <c:v>33.652355657137846</c:v>
                </c:pt>
                <c:pt idx="454">
                  <c:v>34.063657930696017</c:v>
                </c:pt>
                <c:pt idx="455">
                  <c:v>34.474685494008114</c:v>
                </c:pt>
                <c:pt idx="456">
                  <c:v>34.885382570404332</c:v>
                </c:pt>
                <c:pt idx="457">
                  <c:v>35.295694142500295</c:v>
                </c:pt>
                <c:pt idx="458">
                  <c:v>35.705565959891771</c:v>
                </c:pt>
                <c:pt idx="459">
                  <c:v>36.114944546378254</c:v>
                </c:pt>
                <c:pt idx="460">
                  <c:v>36.523777206719451</c:v>
                </c:pt>
                <c:pt idx="461">
                  <c:v>36.932012032929023</c:v>
                </c:pt>
                <c:pt idx="462">
                  <c:v>37.339597910110271</c:v>
                </c:pt>
                <c:pt idx="463">
                  <c:v>37.746484521838418</c:v>
                </c:pt>
                <c:pt idx="464">
                  <c:v>38.152622355094998</c:v>
                </c:pt>
                <c:pt idx="465">
                  <c:v>38.557962704759319</c:v>
                </c:pt>
                <c:pt idx="466">
                  <c:v>38.962457677662769</c:v>
                </c:pt>
                <c:pt idx="467">
                  <c:v>39.366060196211642</c:v>
                </c:pt>
                <c:pt idx="468">
                  <c:v>39.768724001584665</c:v>
                </c:pt>
                <c:pt idx="469">
                  <c:v>40.170403656510985</c:v>
                </c:pt>
                <c:pt idx="470">
                  <c:v>40.571054547635441</c:v>
                </c:pt>
                <c:pt idx="471">
                  <c:v>40.970632887477372</c:v>
                </c:pt>
                <c:pt idx="472">
                  <c:v>41.369095715989502</c:v>
                </c:pt>
                <c:pt idx="473">
                  <c:v>41.766400901724133</c:v>
                </c:pt>
                <c:pt idx="474">
                  <c:v>42.162507142613336</c:v>
                </c:pt>
                <c:pt idx="475">
                  <c:v>42.557373966370044</c:v>
                </c:pt>
                <c:pt idx="476">
                  <c:v>42.950961730518031</c:v>
                </c:pt>
                <c:pt idx="477">
                  <c:v>43.343231622056969</c:v>
                </c:pt>
                <c:pt idx="478">
                  <c:v>43.734145656771091</c:v>
                </c:pt>
                <c:pt idx="479">
                  <c:v>44.123666678188307</c:v>
                </c:pt>
                <c:pt idx="480">
                  <c:v>44.511758356197689</c:v>
                </c:pt>
                <c:pt idx="481">
                  <c:v>44.898385185332863</c:v>
                </c:pt>
                <c:pt idx="482">
                  <c:v>45.283512482729122</c:v>
                </c:pt>
                <c:pt idx="483">
                  <c:v>45.667106385762203</c:v>
                </c:pt>
                <c:pt idx="484">
                  <c:v>46.049133849376226</c:v>
                </c:pt>
                <c:pt idx="485">
                  <c:v>46.42956264310935</c:v>
                </c:pt>
                <c:pt idx="486">
                  <c:v>46.808361347824196</c:v>
                </c:pt>
                <c:pt idx="487">
                  <c:v>47.185499352152029</c:v>
                </c:pt>
                <c:pt idx="488">
                  <c:v>47.5609468486577</c:v>
                </c:pt>
                <c:pt idx="489">
                  <c:v>47.934674829734149</c:v>
                </c:pt>
                <c:pt idx="490">
                  <c:v>48.306655083233885</c:v>
                </c:pt>
                <c:pt idx="491">
                  <c:v>48.676860187845932</c:v>
                </c:pt>
                <c:pt idx="492">
                  <c:v>49.045263508225823</c:v>
                </c:pt>
                <c:pt idx="493">
                  <c:v>49.411839189886827</c:v>
                </c:pt>
                <c:pt idx="494">
                  <c:v>49.776562153860368</c:v>
                </c:pt>
                <c:pt idx="495">
                  <c:v>50.139408091133639</c:v>
                </c:pt>
                <c:pt idx="496">
                  <c:v>50.500353456871679</c:v>
                </c:pt>
                <c:pt idx="497">
                  <c:v>50.859375464433107</c:v>
                </c:pt>
                <c:pt idx="498">
                  <c:v>51.216452079185594</c:v>
                </c:pt>
                <c:pt idx="499">
                  <c:v>51.5715620121303</c:v>
                </c:pt>
                <c:pt idx="500">
                  <c:v>51.924684713342039</c:v>
                </c:pt>
                <c:pt idx="501">
                  <c:v>52.27580036523338</c:v>
                </c:pt>
                <c:pt idx="502">
                  <c:v>52.624889875649771</c:v>
                </c:pt>
                <c:pt idx="503">
                  <c:v>52.971934870803501</c:v>
                </c:pt>
                <c:pt idx="504">
                  <c:v>53.316917688053863</c:v>
                </c:pt>
                <c:pt idx="505">
                  <c:v>53.659821368540811</c:v>
                </c:pt>
                <c:pt idx="506">
                  <c:v>54.000629649679134</c:v>
                </c:pt>
                <c:pt idx="507">
                  <c:v>54.339326957521052</c:v>
                </c:pt>
                <c:pt idx="508">
                  <c:v>54.675898398993162</c:v>
                </c:pt>
                <c:pt idx="509">
                  <c:v>55.01032975401592</c:v>
                </c:pt>
                <c:pt idx="510">
                  <c:v>55.342607467511549</c:v>
                </c:pt>
                <c:pt idx="511">
                  <c:v>55.67271864130791</c:v>
                </c:pt>
                <c:pt idx="512">
                  <c:v>56.000651025944379</c:v>
                </c:pt>
                <c:pt idx="513">
                  <c:v>56.326393012386887</c:v>
                </c:pt>
                <c:pt idx="514">
                  <c:v>56.649933623658079</c:v>
                </c:pt>
                <c:pt idx="515">
                  <c:v>56.97126250638933</c:v>
                </c:pt>
                <c:pt idx="516">
                  <c:v>57.29036992230062</c:v>
                </c:pt>
                <c:pt idx="517">
                  <c:v>57.607246739614489</c:v>
                </c:pt>
                <c:pt idx="518">
                  <c:v>57.921884424409988</c:v>
                </c:pt>
                <c:pt idx="519">
                  <c:v>58.234275031922827</c:v>
                </c:pt>
                <c:pt idx="520">
                  <c:v>58.234584474378266</c:v>
                </c:pt>
                <c:pt idx="521">
                  <c:v>58.234893914600363</c:v>
                </c:pt>
                <c:pt idx="522">
                  <c:v>58.235203352589117</c:v>
                </c:pt>
                <c:pt idx="523">
                  <c:v>58.235512788344536</c:v>
                </c:pt>
                <c:pt idx="524">
                  <c:v>58.235822221866606</c:v>
                </c:pt>
                <c:pt idx="525">
                  <c:v>58.236131653155326</c:v>
                </c:pt>
                <c:pt idx="526">
                  <c:v>58.236441082210675</c:v>
                </c:pt>
                <c:pt idx="527">
                  <c:v>58.236750509032653</c:v>
                </c:pt>
                <c:pt idx="528">
                  <c:v>58.237059933621261</c:v>
                </c:pt>
                <c:pt idx="529">
                  <c:v>58.237369355976497</c:v>
                </c:pt>
                <c:pt idx="530">
                  <c:v>58.237678776098313</c:v>
                </c:pt>
                <c:pt idx="531">
                  <c:v>58.237988193986752</c:v>
                </c:pt>
                <c:pt idx="532">
                  <c:v>58.238297609641776</c:v>
                </c:pt>
                <c:pt idx="533">
                  <c:v>58.238607023063395</c:v>
                </c:pt>
                <c:pt idx="534">
                  <c:v>58.238916434251593</c:v>
                </c:pt>
                <c:pt idx="535">
                  <c:v>58.239225843206341</c:v>
                </c:pt>
                <c:pt idx="536">
                  <c:v>58.239535249927705</c:v>
                </c:pt>
                <c:pt idx="537">
                  <c:v>58.239844654415592</c:v>
                </c:pt>
                <c:pt idx="538">
                  <c:v>58.240154056670065</c:v>
                </c:pt>
                <c:pt idx="539">
                  <c:v>58.240463456691053</c:v>
                </c:pt>
                <c:pt idx="540">
                  <c:v>58.240772854478621</c:v>
                </c:pt>
                <c:pt idx="541">
                  <c:v>58.24108225003269</c:v>
                </c:pt>
                <c:pt idx="542">
                  <c:v>58.24139164335331</c:v>
                </c:pt>
                <c:pt idx="543">
                  <c:v>58.241701034440432</c:v>
                </c:pt>
                <c:pt idx="544">
                  <c:v>58.242010423294083</c:v>
                </c:pt>
                <c:pt idx="545">
                  <c:v>58.242319809914207</c:v>
                </c:pt>
                <c:pt idx="546">
                  <c:v>58.242629194300882</c:v>
                </c:pt>
                <c:pt idx="547">
                  <c:v>58.242938576454023</c:v>
                </c:pt>
                <c:pt idx="548">
                  <c:v>58.243247956373644</c:v>
                </c:pt>
                <c:pt idx="549">
                  <c:v>58.243557334059751</c:v>
                </c:pt>
                <c:pt idx="550">
                  <c:v>58.243866709512368</c:v>
                </c:pt>
                <c:pt idx="551">
                  <c:v>58.244176082731393</c:v>
                </c:pt>
                <c:pt idx="552">
                  <c:v>58.244485453716912</c:v>
                </c:pt>
                <c:pt idx="553">
                  <c:v>58.244794822468869</c:v>
                </c:pt>
                <c:pt idx="554">
                  <c:v>58.245104188987277</c:v>
                </c:pt>
                <c:pt idx="555">
                  <c:v>58.245413553272137</c:v>
                </c:pt>
                <c:pt idx="556">
                  <c:v>58.245722915323398</c:v>
                </c:pt>
                <c:pt idx="557">
                  <c:v>58.246032275141133</c:v>
                </c:pt>
                <c:pt idx="558">
                  <c:v>58.246341632725255</c:v>
                </c:pt>
                <c:pt idx="559">
                  <c:v>58.246650988075793</c:v>
                </c:pt>
                <c:pt idx="560">
                  <c:v>58.246960341192718</c:v>
                </c:pt>
                <c:pt idx="561">
                  <c:v>58.247269692076053</c:v>
                </c:pt>
                <c:pt idx="562">
                  <c:v>58.24757904072581</c:v>
                </c:pt>
                <c:pt idx="563">
                  <c:v>58.247888387141899</c:v>
                </c:pt>
                <c:pt idx="564">
                  <c:v>58.248197731324396</c:v>
                </c:pt>
                <c:pt idx="565">
                  <c:v>58.248507073273267</c:v>
                </c:pt>
                <c:pt idx="566">
                  <c:v>58.248816412988504</c:v>
                </c:pt>
                <c:pt idx="567">
                  <c:v>58.249125750470085</c:v>
                </c:pt>
                <c:pt idx="568">
                  <c:v>58.249435085718019</c:v>
                </c:pt>
                <c:pt idx="569">
                  <c:v>58.249744418732313</c:v>
                </c:pt>
                <c:pt idx="570">
                  <c:v>58.250053749512936</c:v>
                </c:pt>
                <c:pt idx="571">
                  <c:v>58.250363078059841</c:v>
                </c:pt>
                <c:pt idx="572">
                  <c:v>58.250672404373134</c:v>
                </c:pt>
                <c:pt idx="573">
                  <c:v>58.250981728452722</c:v>
                </c:pt>
                <c:pt idx="574">
                  <c:v>58.251291050298612</c:v>
                </c:pt>
                <c:pt idx="575">
                  <c:v>58.251600369910811</c:v>
                </c:pt>
                <c:pt idx="576">
                  <c:v>58.25190968728932</c:v>
                </c:pt>
                <c:pt idx="577">
                  <c:v>58.252219002434096</c:v>
                </c:pt>
                <c:pt idx="578">
                  <c:v>58.252528315345167</c:v>
                </c:pt>
                <c:pt idx="579">
                  <c:v>58.252837626022526</c:v>
                </c:pt>
                <c:pt idx="580">
                  <c:v>58.253146934466152</c:v>
                </c:pt>
                <c:pt idx="581">
                  <c:v>58.253456240676016</c:v>
                </c:pt>
                <c:pt idx="582">
                  <c:v>58.25376554465214</c:v>
                </c:pt>
                <c:pt idx="583">
                  <c:v>58.254074846394531</c:v>
                </c:pt>
                <c:pt idx="584">
                  <c:v>58.254384145903146</c:v>
                </c:pt>
                <c:pt idx="585">
                  <c:v>58.254693443178006</c:v>
                </c:pt>
                <c:pt idx="586">
                  <c:v>58.255002738219112</c:v>
                </c:pt>
                <c:pt idx="587">
                  <c:v>58.255312031026413</c:v>
                </c:pt>
                <c:pt idx="588">
                  <c:v>58.255621321599925</c:v>
                </c:pt>
                <c:pt idx="589">
                  <c:v>58.255930609939682</c:v>
                </c:pt>
                <c:pt idx="590">
                  <c:v>58.256239896045599</c:v>
                </c:pt>
                <c:pt idx="591">
                  <c:v>58.256549179917727</c:v>
                </c:pt>
                <c:pt idx="592">
                  <c:v>58.256858461556043</c:v>
                </c:pt>
                <c:pt idx="593">
                  <c:v>58.257167740960547</c:v>
                </c:pt>
                <c:pt idx="594">
                  <c:v>58.257477018131233</c:v>
                </c:pt>
                <c:pt idx="595">
                  <c:v>58.257786293068087</c:v>
                </c:pt>
                <c:pt idx="596">
                  <c:v>58.258095565771093</c:v>
                </c:pt>
                <c:pt idx="597">
                  <c:v>58.25840483624026</c:v>
                </c:pt>
                <c:pt idx="598">
                  <c:v>58.258714104475573</c:v>
                </c:pt>
                <c:pt idx="599">
                  <c:v>58.259023370476989</c:v>
                </c:pt>
                <c:pt idx="600">
                  <c:v>58.259332634244579</c:v>
                </c:pt>
                <c:pt idx="601">
                  <c:v>58.259641895778302</c:v>
                </c:pt>
                <c:pt idx="602">
                  <c:v>58.259951155078092</c:v>
                </c:pt>
                <c:pt idx="603">
                  <c:v>58.260260412144056</c:v>
                </c:pt>
                <c:pt idx="604">
                  <c:v>58.260569666976089</c:v>
                </c:pt>
                <c:pt idx="605">
                  <c:v>58.260878919574239</c:v>
                </c:pt>
                <c:pt idx="606">
                  <c:v>58.261188169938478</c:v>
                </c:pt>
                <c:pt idx="607">
                  <c:v>58.261497418068807</c:v>
                </c:pt>
                <c:pt idx="608">
                  <c:v>58.261806663965217</c:v>
                </c:pt>
                <c:pt idx="609">
                  <c:v>58.262115907627702</c:v>
                </c:pt>
                <c:pt idx="610">
                  <c:v>58.262425149056234</c:v>
                </c:pt>
                <c:pt idx="611">
                  <c:v>58.262734388250834</c:v>
                </c:pt>
                <c:pt idx="612">
                  <c:v>58.263043625211502</c:v>
                </c:pt>
                <c:pt idx="613">
                  <c:v>58.263352859938202</c:v>
                </c:pt>
                <c:pt idx="614">
                  <c:v>58.263662092430927</c:v>
                </c:pt>
                <c:pt idx="615">
                  <c:v>58.263971322689706</c:v>
                </c:pt>
                <c:pt idx="616">
                  <c:v>58.264280550714496</c:v>
                </c:pt>
                <c:pt idx="617">
                  <c:v>58.264589776505332</c:v>
                </c:pt>
                <c:pt idx="618">
                  <c:v>58.264899000062172</c:v>
                </c:pt>
                <c:pt idx="619">
                  <c:v>58.265208221384995</c:v>
                </c:pt>
                <c:pt idx="620">
                  <c:v>58.265517440473836</c:v>
                </c:pt>
                <c:pt idx="621">
                  <c:v>58.265826657328638</c:v>
                </c:pt>
                <c:pt idx="622">
                  <c:v>58.266135871949444</c:v>
                </c:pt>
                <c:pt idx="623">
                  <c:v>58.266445084336254</c:v>
                </c:pt>
                <c:pt idx="624">
                  <c:v>58.266754294489004</c:v>
                </c:pt>
                <c:pt idx="625">
                  <c:v>58.26706350240773</c:v>
                </c:pt>
                <c:pt idx="626">
                  <c:v>58.26737270809241</c:v>
                </c:pt>
                <c:pt idx="627">
                  <c:v>58.267681911543036</c:v>
                </c:pt>
                <c:pt idx="628">
                  <c:v>58.267991112759638</c:v>
                </c:pt>
                <c:pt idx="629">
                  <c:v>58.268300311742138</c:v>
                </c:pt>
                <c:pt idx="630">
                  <c:v>58.268609508490563</c:v>
                </c:pt>
                <c:pt idx="631">
                  <c:v>58.268918703004914</c:v>
                </c:pt>
                <c:pt idx="632">
                  <c:v>58.269227895285191</c:v>
                </c:pt>
                <c:pt idx="633">
                  <c:v>58.2695370853314</c:v>
                </c:pt>
                <c:pt idx="634">
                  <c:v>58.2698462731435</c:v>
                </c:pt>
                <c:pt idx="635">
                  <c:v>58.27015545872149</c:v>
                </c:pt>
                <c:pt idx="636">
                  <c:v>58.27046464206537</c:v>
                </c:pt>
                <c:pt idx="637">
                  <c:v>58.270773823175148</c:v>
                </c:pt>
                <c:pt idx="638">
                  <c:v>58.271083002050801</c:v>
                </c:pt>
                <c:pt idx="639">
                  <c:v>58.271392178692302</c:v>
                </c:pt>
                <c:pt idx="640">
                  <c:v>58.271701353099687</c:v>
                </c:pt>
                <c:pt idx="641">
                  <c:v>58.272010525272933</c:v>
                </c:pt>
                <c:pt idx="642">
                  <c:v>58.272319695212026</c:v>
                </c:pt>
                <c:pt idx="643">
                  <c:v>58.272628862916946</c:v>
                </c:pt>
                <c:pt idx="644">
                  <c:v>58.272938028387728</c:v>
                </c:pt>
                <c:pt idx="645">
                  <c:v>58.273247191624307</c:v>
                </c:pt>
                <c:pt idx="646">
                  <c:v>58.273556352626727</c:v>
                </c:pt>
                <c:pt idx="647">
                  <c:v>58.273865511394959</c:v>
                </c:pt>
                <c:pt idx="648">
                  <c:v>58.274174667929003</c:v>
                </c:pt>
                <c:pt idx="649">
                  <c:v>58.274483822228852</c:v>
                </c:pt>
                <c:pt idx="650">
                  <c:v>58.274792974294492</c:v>
                </c:pt>
                <c:pt idx="651">
                  <c:v>58.275102124125937</c:v>
                </c:pt>
                <c:pt idx="652">
                  <c:v>58.275411271723165</c:v>
                </c:pt>
                <c:pt idx="653">
                  <c:v>58.275720417086156</c:v>
                </c:pt>
                <c:pt idx="654">
                  <c:v>58.276029560214901</c:v>
                </c:pt>
                <c:pt idx="655">
                  <c:v>58.276338701109424</c:v>
                </c:pt>
                <c:pt idx="656">
                  <c:v>58.276647839769687</c:v>
                </c:pt>
                <c:pt idx="657">
                  <c:v>58.276956976195734</c:v>
                </c:pt>
                <c:pt idx="658">
                  <c:v>58.277266110387494</c:v>
                </c:pt>
                <c:pt idx="659">
                  <c:v>58.277575242345002</c:v>
                </c:pt>
                <c:pt idx="660">
                  <c:v>58.277884372068236</c:v>
                </c:pt>
                <c:pt idx="661">
                  <c:v>58.278193499557197</c:v>
                </c:pt>
                <c:pt idx="662">
                  <c:v>58.278502624811857</c:v>
                </c:pt>
                <c:pt idx="663">
                  <c:v>58.278811747832229</c:v>
                </c:pt>
                <c:pt idx="664">
                  <c:v>58.279120868618307</c:v>
                </c:pt>
                <c:pt idx="665">
                  <c:v>58.279429987170083</c:v>
                </c:pt>
                <c:pt idx="666">
                  <c:v>58.279739103487543</c:v>
                </c:pt>
                <c:pt idx="667">
                  <c:v>58.28004821757068</c:v>
                </c:pt>
                <c:pt idx="668">
                  <c:v>58.280357329419495</c:v>
                </c:pt>
                <c:pt idx="669">
                  <c:v>58.280666439033993</c:v>
                </c:pt>
                <c:pt idx="670">
                  <c:v>58.28097554641414</c:v>
                </c:pt>
                <c:pt idx="671">
                  <c:v>58.281284651559957</c:v>
                </c:pt>
                <c:pt idx="672">
                  <c:v>58.281593754471373</c:v>
                </c:pt>
                <c:pt idx="673">
                  <c:v>58.281902855148466</c:v>
                </c:pt>
                <c:pt idx="674">
                  <c:v>58.282211953591215</c:v>
                </c:pt>
                <c:pt idx="675">
                  <c:v>58.282521049799577</c:v>
                </c:pt>
                <c:pt idx="676">
                  <c:v>58.282830143773523</c:v>
                </c:pt>
                <c:pt idx="677">
                  <c:v>58.28313923551309</c:v>
                </c:pt>
                <c:pt idx="678">
                  <c:v>58.283448325018284</c:v>
                </c:pt>
                <c:pt idx="679">
                  <c:v>58.283757412289084</c:v>
                </c:pt>
                <c:pt idx="680">
                  <c:v>58.284066497325462</c:v>
                </c:pt>
                <c:pt idx="681">
                  <c:v>58.284375580127424</c:v>
                </c:pt>
                <c:pt idx="682">
                  <c:v>58.284684660694992</c:v>
                </c:pt>
                <c:pt idx="683">
                  <c:v>58.284993739028131</c:v>
                </c:pt>
                <c:pt idx="684">
                  <c:v>58.285302815126805</c:v>
                </c:pt>
                <c:pt idx="685">
                  <c:v>58.285611888991056</c:v>
                </c:pt>
                <c:pt idx="686">
                  <c:v>58.285920960620864</c:v>
                </c:pt>
                <c:pt idx="687">
                  <c:v>58.286230030016235</c:v>
                </c:pt>
                <c:pt idx="688">
                  <c:v>58.286539097177126</c:v>
                </c:pt>
                <c:pt idx="689">
                  <c:v>58.286848162103553</c:v>
                </c:pt>
                <c:pt idx="690">
                  <c:v>58.287157224795486</c:v>
                </c:pt>
                <c:pt idx="691">
                  <c:v>58.287466285252997</c:v>
                </c:pt>
                <c:pt idx="692">
                  <c:v>58.28777534347595</c:v>
                </c:pt>
                <c:pt idx="693">
                  <c:v>58.288084399464438</c:v>
                </c:pt>
                <c:pt idx="694">
                  <c:v>58.288393453218433</c:v>
                </c:pt>
                <c:pt idx="695">
                  <c:v>58.28870250473792</c:v>
                </c:pt>
                <c:pt idx="696">
                  <c:v>58.289011554022899</c:v>
                </c:pt>
                <c:pt idx="697">
                  <c:v>58.289320601073349</c:v>
                </c:pt>
                <c:pt idx="698">
                  <c:v>58.289629645889264</c:v>
                </c:pt>
                <c:pt idx="699">
                  <c:v>58.289938688470649</c:v>
                </c:pt>
                <c:pt idx="700">
                  <c:v>58.290247728817491</c:v>
                </c:pt>
                <c:pt idx="701">
                  <c:v>58.290556766929818</c:v>
                </c:pt>
                <c:pt idx="702">
                  <c:v>58.290865802807545</c:v>
                </c:pt>
                <c:pt idx="703">
                  <c:v>58.291174836450715</c:v>
                </c:pt>
                <c:pt idx="704">
                  <c:v>58.291483867859355</c:v>
                </c:pt>
                <c:pt idx="705">
                  <c:v>58.291792897033375</c:v>
                </c:pt>
                <c:pt idx="706">
                  <c:v>58.292101923972844</c:v>
                </c:pt>
                <c:pt idx="707">
                  <c:v>58.292410948677734</c:v>
                </c:pt>
                <c:pt idx="708">
                  <c:v>58.292719971148003</c:v>
                </c:pt>
                <c:pt idx="709">
                  <c:v>58.2930289913837</c:v>
                </c:pt>
                <c:pt idx="710">
                  <c:v>58.293338009384762</c:v>
                </c:pt>
                <c:pt idx="711">
                  <c:v>58.293647025151216</c:v>
                </c:pt>
                <c:pt idx="712">
                  <c:v>58.293956038683049</c:v>
                </c:pt>
                <c:pt idx="713">
                  <c:v>58.294265049980268</c:v>
                </c:pt>
                <c:pt idx="714">
                  <c:v>58.29457405904283</c:v>
                </c:pt>
                <c:pt idx="715">
                  <c:v>58.294883065870764</c:v>
                </c:pt>
                <c:pt idx="716">
                  <c:v>58.295192070464047</c:v>
                </c:pt>
                <c:pt idx="717">
                  <c:v>58.295501072822674</c:v>
                </c:pt>
                <c:pt idx="718">
                  <c:v>58.295810072946622</c:v>
                </c:pt>
                <c:pt idx="719">
                  <c:v>58.29611907083595</c:v>
                </c:pt>
                <c:pt idx="720">
                  <c:v>58.29642806649057</c:v>
                </c:pt>
                <c:pt idx="721">
                  <c:v>58.296737059910491</c:v>
                </c:pt>
                <c:pt idx="722">
                  <c:v>58.297046051095769</c:v>
                </c:pt>
                <c:pt idx="723">
                  <c:v>58.29735504004632</c:v>
                </c:pt>
                <c:pt idx="724">
                  <c:v>58.297664026762185</c:v>
                </c:pt>
                <c:pt idx="725">
                  <c:v>58.297973011243336</c:v>
                </c:pt>
                <c:pt idx="726">
                  <c:v>58.298281993489752</c:v>
                </c:pt>
                <c:pt idx="727">
                  <c:v>58.298590973501454</c:v>
                </c:pt>
                <c:pt idx="728">
                  <c:v>58.298899951278422</c:v>
                </c:pt>
                <c:pt idx="729">
                  <c:v>58.299208926820683</c:v>
                </c:pt>
                <c:pt idx="730">
                  <c:v>58.299517900128194</c:v>
                </c:pt>
                <c:pt idx="731">
                  <c:v>58.299826871200949</c:v>
                </c:pt>
                <c:pt idx="732">
                  <c:v>58.300135840038941</c:v>
                </c:pt>
                <c:pt idx="733">
                  <c:v>58.300444806642197</c:v>
                </c:pt>
                <c:pt idx="734">
                  <c:v>58.300753771010648</c:v>
                </c:pt>
                <c:pt idx="735">
                  <c:v>58.301062733144363</c:v>
                </c:pt>
                <c:pt idx="736">
                  <c:v>58.301371693043279</c:v>
                </c:pt>
                <c:pt idx="737">
                  <c:v>58.301680650707382</c:v>
                </c:pt>
                <c:pt idx="738">
                  <c:v>58.301989606136715</c:v>
                </c:pt>
                <c:pt idx="739">
                  <c:v>58.302298559331255</c:v>
                </c:pt>
                <c:pt idx="740">
                  <c:v>58.302607510290962</c:v>
                </c:pt>
                <c:pt idx="741">
                  <c:v>58.30291645901584</c:v>
                </c:pt>
                <c:pt idx="742">
                  <c:v>58.303225405505934</c:v>
                </c:pt>
                <c:pt idx="743">
                  <c:v>58.303534349761186</c:v>
                </c:pt>
                <c:pt idx="744">
                  <c:v>58.303843291781611</c:v>
                </c:pt>
                <c:pt idx="745">
                  <c:v>58.304152231567194</c:v>
                </c:pt>
                <c:pt idx="746">
                  <c:v>58.304461169117921</c:v>
                </c:pt>
                <c:pt idx="747">
                  <c:v>58.304770104433807</c:v>
                </c:pt>
                <c:pt idx="748">
                  <c:v>58.305079037514815</c:v>
                </c:pt>
                <c:pt idx="749">
                  <c:v>58.305387968360932</c:v>
                </c:pt>
                <c:pt idx="750">
                  <c:v>58.305696896972222</c:v>
                </c:pt>
                <c:pt idx="751">
                  <c:v>58.306005823348585</c:v>
                </c:pt>
                <c:pt idx="752">
                  <c:v>58.306314747490077</c:v>
                </c:pt>
                <c:pt idx="753">
                  <c:v>58.306623669396672</c:v>
                </c:pt>
                <c:pt idx="754">
                  <c:v>58.30693258906836</c:v>
                </c:pt>
                <c:pt idx="755">
                  <c:v>58.307241506505122</c:v>
                </c:pt>
                <c:pt idx="756">
                  <c:v>58.307550421706999</c:v>
                </c:pt>
                <c:pt idx="757">
                  <c:v>58.307859334673957</c:v>
                </c:pt>
                <c:pt idx="758">
                  <c:v>58.308168245405945</c:v>
                </c:pt>
                <c:pt idx="759">
                  <c:v>58.308477153903013</c:v>
                </c:pt>
                <c:pt idx="760">
                  <c:v>58.308786060165168</c:v>
                </c:pt>
                <c:pt idx="761">
                  <c:v>58.309094964192333</c:v>
                </c:pt>
                <c:pt idx="762">
                  <c:v>58.309403865984578</c:v>
                </c:pt>
                <c:pt idx="763">
                  <c:v>58.309712765541846</c:v>
                </c:pt>
                <c:pt idx="764">
                  <c:v>58.310021662864152</c:v>
                </c:pt>
                <c:pt idx="765">
                  <c:v>58.310330557951445</c:v>
                </c:pt>
                <c:pt idx="766">
                  <c:v>58.31063945080377</c:v>
                </c:pt>
                <c:pt idx="767">
                  <c:v>58.310948341421131</c:v>
                </c:pt>
                <c:pt idx="768">
                  <c:v>58.311257229803473</c:v>
                </c:pt>
                <c:pt idx="769">
                  <c:v>58.311566115950832</c:v>
                </c:pt>
                <c:pt idx="770">
                  <c:v>58.31187499986315</c:v>
                </c:pt>
                <c:pt idx="771">
                  <c:v>58.312183881540498</c:v>
                </c:pt>
                <c:pt idx="772">
                  <c:v>58.312492760982785</c:v>
                </c:pt>
                <c:pt idx="773">
                  <c:v>58.312801638190059</c:v>
                </c:pt>
                <c:pt idx="774">
                  <c:v>58.313110513162307</c:v>
                </c:pt>
                <c:pt idx="775">
                  <c:v>58.3134193858995</c:v>
                </c:pt>
                <c:pt idx="776">
                  <c:v>58.313728256401632</c:v>
                </c:pt>
                <c:pt idx="777">
                  <c:v>58.314037124668729</c:v>
                </c:pt>
                <c:pt idx="778">
                  <c:v>58.314345990700744</c:v>
                </c:pt>
                <c:pt idx="779">
                  <c:v>58.314654854497682</c:v>
                </c:pt>
                <c:pt idx="780">
                  <c:v>58.314963716059566</c:v>
                </c:pt>
                <c:pt idx="781">
                  <c:v>58.315272575386345</c:v>
                </c:pt>
                <c:pt idx="782">
                  <c:v>58.315581432478055</c:v>
                </c:pt>
                <c:pt idx="783">
                  <c:v>58.315890287334682</c:v>
                </c:pt>
                <c:pt idx="784">
                  <c:v>58.316199139956197</c:v>
                </c:pt>
                <c:pt idx="785">
                  <c:v>58.316507990342586</c:v>
                </c:pt>
                <c:pt idx="786">
                  <c:v>58.316816838493892</c:v>
                </c:pt>
                <c:pt idx="787">
                  <c:v>58.317125684410016</c:v>
                </c:pt>
                <c:pt idx="788">
                  <c:v>58.317434528091049</c:v>
                </c:pt>
                <c:pt idx="789">
                  <c:v>58.317743369536927</c:v>
                </c:pt>
                <c:pt idx="790">
                  <c:v>58.318052208747687</c:v>
                </c:pt>
                <c:pt idx="791">
                  <c:v>58.318361045723286</c:v>
                </c:pt>
                <c:pt idx="792">
                  <c:v>58.318669880463723</c:v>
                </c:pt>
                <c:pt idx="793">
                  <c:v>58.318978712969006</c:v>
                </c:pt>
                <c:pt idx="794">
                  <c:v>58.319287543239128</c:v>
                </c:pt>
                <c:pt idx="795">
                  <c:v>58.319596371274052</c:v>
                </c:pt>
                <c:pt idx="796">
                  <c:v>58.319905197073801</c:v>
                </c:pt>
                <c:pt idx="797">
                  <c:v>58.320214020638375</c:v>
                </c:pt>
                <c:pt idx="798">
                  <c:v>58.320522841967723</c:v>
                </c:pt>
                <c:pt idx="799">
                  <c:v>58.320831661061881</c:v>
                </c:pt>
                <c:pt idx="800">
                  <c:v>58.321140477920842</c:v>
                </c:pt>
                <c:pt idx="801">
                  <c:v>58.321449292544571</c:v>
                </c:pt>
                <c:pt idx="802">
                  <c:v>58.321758104933082</c:v>
                </c:pt>
                <c:pt idx="803">
                  <c:v>58.322066915086353</c:v>
                </c:pt>
                <c:pt idx="804">
                  <c:v>58.32237572300442</c:v>
                </c:pt>
                <c:pt idx="805">
                  <c:v>58.322684528687191</c:v>
                </c:pt>
                <c:pt idx="806">
                  <c:v>58.322993332134772</c:v>
                </c:pt>
                <c:pt idx="807">
                  <c:v>58.323302133347056</c:v>
                </c:pt>
                <c:pt idx="808">
                  <c:v>58.323610932324087</c:v>
                </c:pt>
                <c:pt idx="809">
                  <c:v>58.32391972906585</c:v>
                </c:pt>
                <c:pt idx="810">
                  <c:v>58.324228523572366</c:v>
                </c:pt>
                <c:pt idx="811">
                  <c:v>58.324537315843557</c:v>
                </c:pt>
                <c:pt idx="812">
                  <c:v>58.324846105879459</c:v>
                </c:pt>
                <c:pt idx="813">
                  <c:v>58.3251548936801</c:v>
                </c:pt>
                <c:pt idx="814">
                  <c:v>58.325463679245388</c:v>
                </c:pt>
                <c:pt idx="815">
                  <c:v>58.325772462575415</c:v>
                </c:pt>
                <c:pt idx="816">
                  <c:v>58.326081243670103</c:v>
                </c:pt>
                <c:pt idx="817">
                  <c:v>58.326390022529495</c:v>
                </c:pt>
                <c:pt idx="818">
                  <c:v>58.326698799153526</c:v>
                </c:pt>
                <c:pt idx="819">
                  <c:v>58.32700757354224</c:v>
                </c:pt>
                <c:pt idx="820">
                  <c:v>58.327316345695593</c:v>
                </c:pt>
                <c:pt idx="821">
                  <c:v>58.327625115613614</c:v>
                </c:pt>
                <c:pt idx="822">
                  <c:v>58.327933883296261</c:v>
                </c:pt>
                <c:pt idx="823">
                  <c:v>58.328242648743576</c:v>
                </c:pt>
                <c:pt idx="824">
                  <c:v>58.328551411955502</c:v>
                </c:pt>
                <c:pt idx="825">
                  <c:v>58.328860172932067</c:v>
                </c:pt>
                <c:pt idx="826">
                  <c:v>58.329168931673223</c:v>
                </c:pt>
                <c:pt idx="827">
                  <c:v>58.32947768817899</c:v>
                </c:pt>
                <c:pt idx="828">
                  <c:v>58.329786442449368</c:v>
                </c:pt>
                <c:pt idx="829">
                  <c:v>58.330095194484343</c:v>
                </c:pt>
                <c:pt idx="830">
                  <c:v>58.330403944283901</c:v>
                </c:pt>
                <c:pt idx="831">
                  <c:v>58.330712691848056</c:v>
                </c:pt>
                <c:pt idx="832">
                  <c:v>58.33102143717678</c:v>
                </c:pt>
                <c:pt idx="833">
                  <c:v>58.331330180270093</c:v>
                </c:pt>
                <c:pt idx="834">
                  <c:v>58.331638921127968</c:v>
                </c:pt>
                <c:pt idx="835">
                  <c:v>58.331947659750405</c:v>
                </c:pt>
                <c:pt idx="836">
                  <c:v>58.332256396137375</c:v>
                </c:pt>
                <c:pt idx="837">
                  <c:v>58.332565130288891</c:v>
                </c:pt>
                <c:pt idx="838">
                  <c:v>58.332873862204941</c:v>
                </c:pt>
                <c:pt idx="839">
                  <c:v>58.33318259188556</c:v>
                </c:pt>
                <c:pt idx="840">
                  <c:v>58.333491319330662</c:v>
                </c:pt>
                <c:pt idx="841">
                  <c:v>58.333800044540261</c:v>
                </c:pt>
                <c:pt idx="842">
                  <c:v>58.334108767514437</c:v>
                </c:pt>
                <c:pt idx="843">
                  <c:v>58.334417488253074</c:v>
                </c:pt>
                <c:pt idx="844">
                  <c:v>58.334726206756216</c:v>
                </c:pt>
                <c:pt idx="845">
                  <c:v>58.335034923023848</c:v>
                </c:pt>
                <c:pt idx="846">
                  <c:v>58.335343637055963</c:v>
                </c:pt>
                <c:pt idx="847">
                  <c:v>58.33565234885257</c:v>
                </c:pt>
                <c:pt idx="848">
                  <c:v>58.335961058413631</c:v>
                </c:pt>
                <c:pt idx="849">
                  <c:v>58.336269765739161</c:v>
                </c:pt>
                <c:pt idx="850">
                  <c:v>58.336578470829132</c:v>
                </c:pt>
                <c:pt idx="851">
                  <c:v>58.336887173683579</c:v>
                </c:pt>
                <c:pt idx="852">
                  <c:v>58.337195874302473</c:v>
                </c:pt>
                <c:pt idx="853">
                  <c:v>58.337504572685802</c:v>
                </c:pt>
                <c:pt idx="854">
                  <c:v>58.337813268833543</c:v>
                </c:pt>
                <c:pt idx="855">
                  <c:v>58.338121962745745</c:v>
                </c:pt>
                <c:pt idx="856">
                  <c:v>58.338430654422361</c:v>
                </c:pt>
                <c:pt idx="857">
                  <c:v>58.338739343863359</c:v>
                </c:pt>
                <c:pt idx="858">
                  <c:v>58.339048031068756</c:v>
                </c:pt>
                <c:pt idx="859">
                  <c:v>58.33935671603858</c:v>
                </c:pt>
                <c:pt idx="860">
                  <c:v>58.339665398772766</c:v>
                </c:pt>
                <c:pt idx="861">
                  <c:v>58.339974079271364</c:v>
                </c:pt>
                <c:pt idx="862">
                  <c:v>58.340282757534318</c:v>
                </c:pt>
                <c:pt idx="863">
                  <c:v>58.34059143356167</c:v>
                </c:pt>
                <c:pt idx="864">
                  <c:v>58.340900107353356</c:v>
                </c:pt>
                <c:pt idx="865">
                  <c:v>58.341208778909468</c:v>
                </c:pt>
                <c:pt idx="866">
                  <c:v>58.341517448229858</c:v>
                </c:pt>
                <c:pt idx="867">
                  <c:v>58.341826115314639</c:v>
                </c:pt>
                <c:pt idx="868">
                  <c:v>58.342134780163711</c:v>
                </c:pt>
                <c:pt idx="869">
                  <c:v>58.342443442777153</c:v>
                </c:pt>
                <c:pt idx="870">
                  <c:v>58.342752103154936</c:v>
                </c:pt>
                <c:pt idx="871">
                  <c:v>58.343060761296996</c:v>
                </c:pt>
                <c:pt idx="872">
                  <c:v>58.343369417203377</c:v>
                </c:pt>
                <c:pt idx="873">
                  <c:v>58.34367807087407</c:v>
                </c:pt>
                <c:pt idx="874">
                  <c:v>58.343986722309069</c:v>
                </c:pt>
                <c:pt idx="875">
                  <c:v>58.344295371508359</c:v>
                </c:pt>
                <c:pt idx="876">
                  <c:v>58.344604018471934</c:v>
                </c:pt>
                <c:pt idx="877">
                  <c:v>58.344912663199779</c:v>
                </c:pt>
                <c:pt idx="878">
                  <c:v>58.345221305691922</c:v>
                </c:pt>
                <c:pt idx="879">
                  <c:v>58.345529945948307</c:v>
                </c:pt>
                <c:pt idx="880">
                  <c:v>58.345838583968963</c:v>
                </c:pt>
                <c:pt idx="881">
                  <c:v>58.346147219753874</c:v>
                </c:pt>
                <c:pt idx="882">
                  <c:v>58.346455853303013</c:v>
                </c:pt>
                <c:pt idx="883">
                  <c:v>58.346764484616408</c:v>
                </c:pt>
                <c:pt idx="884">
                  <c:v>58.347073113694023</c:v>
                </c:pt>
                <c:pt idx="885">
                  <c:v>58.347381740535859</c:v>
                </c:pt>
                <c:pt idx="886">
                  <c:v>58.347690365141943</c:v>
                </c:pt>
                <c:pt idx="887">
                  <c:v>58.347998987512199</c:v>
                </c:pt>
                <c:pt idx="888">
                  <c:v>58.348307607646696</c:v>
                </c:pt>
                <c:pt idx="889">
                  <c:v>58.348616225545385</c:v>
                </c:pt>
                <c:pt idx="890">
                  <c:v>58.348924841208259</c:v>
                </c:pt>
                <c:pt idx="891">
                  <c:v>58.349233454635325</c:v>
                </c:pt>
                <c:pt idx="892">
                  <c:v>58.34954206582659</c:v>
                </c:pt>
                <c:pt idx="893">
                  <c:v>58.349850674782012</c:v>
                </c:pt>
                <c:pt idx="894">
                  <c:v>58.350159281501568</c:v>
                </c:pt>
                <c:pt idx="895">
                  <c:v>58.350467885985296</c:v>
                </c:pt>
                <c:pt idx="896">
                  <c:v>58.350776488233215</c:v>
                </c:pt>
                <c:pt idx="897">
                  <c:v>58.35108508824527</c:v>
                </c:pt>
                <c:pt idx="898">
                  <c:v>58.351393686021453</c:v>
                </c:pt>
                <c:pt idx="899">
                  <c:v>58.351702281561778</c:v>
                </c:pt>
                <c:pt idx="900">
                  <c:v>58.352010874866238</c:v>
                </c:pt>
                <c:pt idx="901">
                  <c:v>58.352319465934819</c:v>
                </c:pt>
                <c:pt idx="902">
                  <c:v>58.352628054767507</c:v>
                </c:pt>
                <c:pt idx="903">
                  <c:v>58.352936641364273</c:v>
                </c:pt>
                <c:pt idx="904">
                  <c:v>58.353245225725168</c:v>
                </c:pt>
                <c:pt idx="905">
                  <c:v>58.353553807850155</c:v>
                </c:pt>
                <c:pt idx="906">
                  <c:v>58.353862387739234</c:v>
                </c:pt>
                <c:pt idx="907">
                  <c:v>58.35417096539237</c:v>
                </c:pt>
                <c:pt idx="908">
                  <c:v>58.354479540809621</c:v>
                </c:pt>
                <c:pt idx="909">
                  <c:v>58.354788113990878</c:v>
                </c:pt>
                <c:pt idx="910">
                  <c:v>58.355096684936257</c:v>
                </c:pt>
                <c:pt idx="911">
                  <c:v>58.355405253645642</c:v>
                </c:pt>
                <c:pt idx="912">
                  <c:v>58.355713820119107</c:v>
                </c:pt>
                <c:pt idx="913">
                  <c:v>58.356022384356606</c:v>
                </c:pt>
                <c:pt idx="914">
                  <c:v>58.356330946358128</c:v>
                </c:pt>
                <c:pt idx="915">
                  <c:v>58.356639506123685</c:v>
                </c:pt>
                <c:pt idx="916">
                  <c:v>58.35694806365327</c:v>
                </c:pt>
                <c:pt idx="917">
                  <c:v>58.357256618946856</c:v>
                </c:pt>
                <c:pt idx="918">
                  <c:v>58.357565172004485</c:v>
                </c:pt>
                <c:pt idx="919">
                  <c:v>58.357873722826085</c:v>
                </c:pt>
                <c:pt idx="920">
                  <c:v>58.358182271411678</c:v>
                </c:pt>
                <c:pt idx="921">
                  <c:v>58.358490817761258</c:v>
                </c:pt>
                <c:pt idx="922">
                  <c:v>58.358799361874844</c:v>
                </c:pt>
                <c:pt idx="923">
                  <c:v>58.35910790375236</c:v>
                </c:pt>
                <c:pt idx="924">
                  <c:v>58.359416443393911</c:v>
                </c:pt>
                <c:pt idx="925">
                  <c:v>58.359724980799371</c:v>
                </c:pt>
                <c:pt idx="926">
                  <c:v>58.360033515968816</c:v>
                </c:pt>
                <c:pt idx="927">
                  <c:v>58.360342048902197</c:v>
                </c:pt>
                <c:pt idx="928">
                  <c:v>58.360650579599522</c:v>
                </c:pt>
                <c:pt idx="929">
                  <c:v>58.360959108060783</c:v>
                </c:pt>
                <c:pt idx="930">
                  <c:v>58.36126763428598</c:v>
                </c:pt>
                <c:pt idx="931">
                  <c:v>58.361576158275078</c:v>
                </c:pt>
                <c:pt idx="932">
                  <c:v>58.361884680028119</c:v>
                </c:pt>
                <c:pt idx="933">
                  <c:v>58.36219319954504</c:v>
                </c:pt>
                <c:pt idx="934">
                  <c:v>58.362501716825882</c:v>
                </c:pt>
                <c:pt idx="935">
                  <c:v>58.362810231870604</c:v>
                </c:pt>
                <c:pt idx="936">
                  <c:v>58.363118744679255</c:v>
                </c:pt>
                <c:pt idx="937">
                  <c:v>58.363427255251757</c:v>
                </c:pt>
                <c:pt idx="938">
                  <c:v>58.363735763588153</c:v>
                </c:pt>
                <c:pt idx="939">
                  <c:v>58.364044269688392</c:v>
                </c:pt>
                <c:pt idx="940">
                  <c:v>58.36435277355249</c:v>
                </c:pt>
                <c:pt idx="941">
                  <c:v>58.364661275180488</c:v>
                </c:pt>
                <c:pt idx="942">
                  <c:v>58.364969774572309</c:v>
                </c:pt>
                <c:pt idx="943">
                  <c:v>58.365278271727995</c:v>
                </c:pt>
                <c:pt idx="944">
                  <c:v>58.365586766647482</c:v>
                </c:pt>
                <c:pt idx="945">
                  <c:v>58.365895259330856</c:v>
                </c:pt>
                <c:pt idx="946">
                  <c:v>58.366203749777995</c:v>
                </c:pt>
                <c:pt idx="947">
                  <c:v>58.366512237988971</c:v>
                </c:pt>
                <c:pt idx="948">
                  <c:v>58.366820723963748</c:v>
                </c:pt>
                <c:pt idx="949">
                  <c:v>58.367129207702369</c:v>
                </c:pt>
                <c:pt idx="950">
                  <c:v>58.367437689204735</c:v>
                </c:pt>
                <c:pt idx="951">
                  <c:v>58.367746168470916</c:v>
                </c:pt>
                <c:pt idx="952">
                  <c:v>58.36805464550087</c:v>
                </c:pt>
                <c:pt idx="953">
                  <c:v>58.36836312029461</c:v>
                </c:pt>
                <c:pt idx="954">
                  <c:v>58.368671592852124</c:v>
                </c:pt>
                <c:pt idx="955">
                  <c:v>58.36898006317341</c:v>
                </c:pt>
                <c:pt idx="956">
                  <c:v>58.369288531258441</c:v>
                </c:pt>
                <c:pt idx="957">
                  <c:v>58.369596997107244</c:v>
                </c:pt>
                <c:pt idx="958">
                  <c:v>58.369905460719771</c:v>
                </c:pt>
                <c:pt idx="959">
                  <c:v>58.370213922096028</c:v>
                </c:pt>
                <c:pt idx="960">
                  <c:v>58.370522381236057</c:v>
                </c:pt>
                <c:pt idx="961">
                  <c:v>58.370830838139781</c:v>
                </c:pt>
                <c:pt idx="962">
                  <c:v>58.371139292807229</c:v>
                </c:pt>
                <c:pt idx="963">
                  <c:v>58.371447745238392</c:v>
                </c:pt>
                <c:pt idx="964">
                  <c:v>58.37175619543325</c:v>
                </c:pt>
                <c:pt idx="965">
                  <c:v>58.372064643391838</c:v>
                </c:pt>
                <c:pt idx="966">
                  <c:v>58.372373089114063</c:v>
                </c:pt>
                <c:pt idx="967">
                  <c:v>58.372681532600012</c:v>
                </c:pt>
                <c:pt idx="968">
                  <c:v>58.372989973849613</c:v>
                </c:pt>
                <c:pt idx="969">
                  <c:v>58.37329841286293</c:v>
                </c:pt>
                <c:pt idx="970">
                  <c:v>58.373606849639863</c:v>
                </c:pt>
                <c:pt idx="971">
                  <c:v>58.373915284180505</c:v>
                </c:pt>
                <c:pt idx="972">
                  <c:v>58.374223716484778</c:v>
                </c:pt>
                <c:pt idx="973">
                  <c:v>58.37453214655271</c:v>
                </c:pt>
                <c:pt idx="974">
                  <c:v>58.374840574384251</c:v>
                </c:pt>
                <c:pt idx="975">
                  <c:v>58.375148999979452</c:v>
                </c:pt>
                <c:pt idx="976">
                  <c:v>58.375457423338247</c:v>
                </c:pt>
                <c:pt idx="977">
                  <c:v>58.375765844460695</c:v>
                </c:pt>
                <c:pt idx="978">
                  <c:v>58.376074263346737</c:v>
                </c:pt>
                <c:pt idx="979">
                  <c:v>58.376382679996389</c:v>
                </c:pt>
                <c:pt idx="980">
                  <c:v>58.376691094409644</c:v>
                </c:pt>
                <c:pt idx="981">
                  <c:v>58.376999506586493</c:v>
                </c:pt>
                <c:pt idx="982">
                  <c:v>58.377307916526945</c:v>
                </c:pt>
                <c:pt idx="983">
                  <c:v>58.377616324230949</c:v>
                </c:pt>
                <c:pt idx="984">
                  <c:v>58.37792472969857</c:v>
                </c:pt>
                <c:pt idx="985">
                  <c:v>58.378233132929715</c:v>
                </c:pt>
                <c:pt idx="986">
                  <c:v>58.378541533924441</c:v>
                </c:pt>
                <c:pt idx="987">
                  <c:v>58.378849932682712</c:v>
                </c:pt>
                <c:pt idx="988">
                  <c:v>58.379158329204529</c:v>
                </c:pt>
                <c:pt idx="989">
                  <c:v>58.379466723489912</c:v>
                </c:pt>
                <c:pt idx="990">
                  <c:v>58.379775115538806</c:v>
                </c:pt>
                <c:pt idx="991">
                  <c:v>58.380083505351237</c:v>
                </c:pt>
                <c:pt idx="992">
                  <c:v>58.380391892927193</c:v>
                </c:pt>
                <c:pt idx="993">
                  <c:v>58.380700278266659</c:v>
                </c:pt>
                <c:pt idx="994">
                  <c:v>58.38100866136962</c:v>
                </c:pt>
                <c:pt idx="995">
                  <c:v>58.381317042236105</c:v>
                </c:pt>
                <c:pt idx="996">
                  <c:v>58.381625420866072</c:v>
                </c:pt>
                <c:pt idx="997">
                  <c:v>58.381933797259535</c:v>
                </c:pt>
                <c:pt idx="998">
                  <c:v>58.382242171416479</c:v>
                </c:pt>
                <c:pt idx="999">
                  <c:v>58.382550543336919</c:v>
                </c:pt>
                <c:pt idx="1000">
                  <c:v>58.382858913020783</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33.900100000000215</c:v>
                </c:pt>
                <c:pt idx="521">
                  <c:v>33.900200000000218</c:v>
                </c:pt>
                <c:pt idx="522">
                  <c:v>33.900300000000222</c:v>
                </c:pt>
                <c:pt idx="523">
                  <c:v>33.900400000000225</c:v>
                </c:pt>
                <c:pt idx="524">
                  <c:v>33.900500000000228</c:v>
                </c:pt>
                <c:pt idx="525">
                  <c:v>33.900600000000232</c:v>
                </c:pt>
                <c:pt idx="526">
                  <c:v>33.900700000000235</c:v>
                </c:pt>
                <c:pt idx="527">
                  <c:v>33.900800000000238</c:v>
                </c:pt>
                <c:pt idx="528">
                  <c:v>33.900900000000242</c:v>
                </c:pt>
                <c:pt idx="529">
                  <c:v>33.901000000000245</c:v>
                </c:pt>
                <c:pt idx="530">
                  <c:v>33.901100000000248</c:v>
                </c:pt>
                <c:pt idx="531">
                  <c:v>33.901200000000252</c:v>
                </c:pt>
                <c:pt idx="532">
                  <c:v>33.901300000000255</c:v>
                </c:pt>
                <c:pt idx="533">
                  <c:v>33.901400000000258</c:v>
                </c:pt>
                <c:pt idx="534">
                  <c:v>33.901500000000262</c:v>
                </c:pt>
                <c:pt idx="535">
                  <c:v>33.901600000000265</c:v>
                </c:pt>
                <c:pt idx="536">
                  <c:v>33.901700000000268</c:v>
                </c:pt>
                <c:pt idx="537">
                  <c:v>33.901800000000271</c:v>
                </c:pt>
                <c:pt idx="538">
                  <c:v>33.901900000000275</c:v>
                </c:pt>
                <c:pt idx="539">
                  <c:v>33.902000000000278</c:v>
                </c:pt>
                <c:pt idx="540">
                  <c:v>33.902100000000281</c:v>
                </c:pt>
                <c:pt idx="541">
                  <c:v>33.902200000000285</c:v>
                </c:pt>
                <c:pt idx="542">
                  <c:v>33.902300000000288</c:v>
                </c:pt>
                <c:pt idx="543">
                  <c:v>33.902400000000291</c:v>
                </c:pt>
                <c:pt idx="544">
                  <c:v>33.902500000000295</c:v>
                </c:pt>
                <c:pt idx="545">
                  <c:v>33.902600000000298</c:v>
                </c:pt>
                <c:pt idx="546">
                  <c:v>33.902700000000301</c:v>
                </c:pt>
                <c:pt idx="547">
                  <c:v>33.902800000000305</c:v>
                </c:pt>
                <c:pt idx="548">
                  <c:v>33.902900000000308</c:v>
                </c:pt>
                <c:pt idx="549">
                  <c:v>33.903000000000311</c:v>
                </c:pt>
                <c:pt idx="550">
                  <c:v>33.903100000000315</c:v>
                </c:pt>
                <c:pt idx="551">
                  <c:v>33.903200000000318</c:v>
                </c:pt>
                <c:pt idx="552">
                  <c:v>33.903300000000321</c:v>
                </c:pt>
                <c:pt idx="553">
                  <c:v>33.903400000000325</c:v>
                </c:pt>
                <c:pt idx="554">
                  <c:v>33.903500000000328</c:v>
                </c:pt>
                <c:pt idx="555">
                  <c:v>33.903600000000331</c:v>
                </c:pt>
                <c:pt idx="556">
                  <c:v>33.903700000000335</c:v>
                </c:pt>
                <c:pt idx="557">
                  <c:v>33.903800000000338</c:v>
                </c:pt>
                <c:pt idx="558">
                  <c:v>33.903900000000341</c:v>
                </c:pt>
                <c:pt idx="559">
                  <c:v>33.904000000000345</c:v>
                </c:pt>
                <c:pt idx="560">
                  <c:v>33.904100000000348</c:v>
                </c:pt>
                <c:pt idx="561">
                  <c:v>33.904200000000351</c:v>
                </c:pt>
                <c:pt idx="562">
                  <c:v>33.904300000000354</c:v>
                </c:pt>
                <c:pt idx="563">
                  <c:v>33.904400000000358</c:v>
                </c:pt>
                <c:pt idx="564">
                  <c:v>33.904500000000361</c:v>
                </c:pt>
                <c:pt idx="565">
                  <c:v>33.904600000000364</c:v>
                </c:pt>
                <c:pt idx="566">
                  <c:v>33.904700000000368</c:v>
                </c:pt>
                <c:pt idx="567">
                  <c:v>33.904800000000371</c:v>
                </c:pt>
                <c:pt idx="568">
                  <c:v>33.904900000000374</c:v>
                </c:pt>
                <c:pt idx="569">
                  <c:v>33.905000000000378</c:v>
                </c:pt>
                <c:pt idx="570">
                  <c:v>33.905100000000381</c:v>
                </c:pt>
                <c:pt idx="571">
                  <c:v>33.905200000000384</c:v>
                </c:pt>
                <c:pt idx="572">
                  <c:v>33.905300000000388</c:v>
                </c:pt>
                <c:pt idx="573">
                  <c:v>33.905400000000391</c:v>
                </c:pt>
                <c:pt idx="574">
                  <c:v>33.905500000000394</c:v>
                </c:pt>
                <c:pt idx="575">
                  <c:v>33.905600000000398</c:v>
                </c:pt>
                <c:pt idx="576">
                  <c:v>33.905700000000401</c:v>
                </c:pt>
                <c:pt idx="577">
                  <c:v>33.905800000000404</c:v>
                </c:pt>
                <c:pt idx="578">
                  <c:v>33.905900000000408</c:v>
                </c:pt>
                <c:pt idx="579">
                  <c:v>33.906000000000411</c:v>
                </c:pt>
                <c:pt idx="580">
                  <c:v>33.906100000000414</c:v>
                </c:pt>
                <c:pt idx="581">
                  <c:v>33.906200000000418</c:v>
                </c:pt>
                <c:pt idx="582">
                  <c:v>33.906300000000421</c:v>
                </c:pt>
                <c:pt idx="583">
                  <c:v>33.906400000000424</c:v>
                </c:pt>
                <c:pt idx="584">
                  <c:v>33.906500000000428</c:v>
                </c:pt>
                <c:pt idx="585">
                  <c:v>33.906600000000431</c:v>
                </c:pt>
                <c:pt idx="586">
                  <c:v>33.906700000000434</c:v>
                </c:pt>
                <c:pt idx="587">
                  <c:v>33.906800000000437</c:v>
                </c:pt>
                <c:pt idx="588">
                  <c:v>33.906900000000441</c:v>
                </c:pt>
                <c:pt idx="589">
                  <c:v>33.907000000000444</c:v>
                </c:pt>
                <c:pt idx="590">
                  <c:v>33.907100000000447</c:v>
                </c:pt>
                <c:pt idx="591">
                  <c:v>33.907200000000451</c:v>
                </c:pt>
                <c:pt idx="592">
                  <c:v>33.907300000000454</c:v>
                </c:pt>
                <c:pt idx="593">
                  <c:v>33.907400000000457</c:v>
                </c:pt>
                <c:pt idx="594">
                  <c:v>33.907500000000461</c:v>
                </c:pt>
                <c:pt idx="595">
                  <c:v>33.907600000000464</c:v>
                </c:pt>
                <c:pt idx="596">
                  <c:v>33.907700000000467</c:v>
                </c:pt>
                <c:pt idx="597">
                  <c:v>33.907800000000471</c:v>
                </c:pt>
                <c:pt idx="598">
                  <c:v>33.907900000000474</c:v>
                </c:pt>
                <c:pt idx="599">
                  <c:v>33.908000000000477</c:v>
                </c:pt>
                <c:pt idx="600">
                  <c:v>33.908100000000481</c:v>
                </c:pt>
                <c:pt idx="601">
                  <c:v>33.908200000000484</c:v>
                </c:pt>
                <c:pt idx="602">
                  <c:v>33.908300000000487</c:v>
                </c:pt>
                <c:pt idx="603">
                  <c:v>33.908400000000491</c:v>
                </c:pt>
                <c:pt idx="604">
                  <c:v>33.908500000000494</c:v>
                </c:pt>
                <c:pt idx="605">
                  <c:v>33.908600000000497</c:v>
                </c:pt>
                <c:pt idx="606">
                  <c:v>33.908700000000501</c:v>
                </c:pt>
                <c:pt idx="607">
                  <c:v>33.908800000000504</c:v>
                </c:pt>
                <c:pt idx="608">
                  <c:v>33.908900000000507</c:v>
                </c:pt>
                <c:pt idx="609">
                  <c:v>33.909000000000511</c:v>
                </c:pt>
                <c:pt idx="610">
                  <c:v>33.909100000000514</c:v>
                </c:pt>
                <c:pt idx="611">
                  <c:v>33.909200000000517</c:v>
                </c:pt>
                <c:pt idx="612">
                  <c:v>33.90930000000052</c:v>
                </c:pt>
                <c:pt idx="613">
                  <c:v>33.909400000000524</c:v>
                </c:pt>
                <c:pt idx="614">
                  <c:v>33.909500000000527</c:v>
                </c:pt>
                <c:pt idx="615">
                  <c:v>33.90960000000053</c:v>
                </c:pt>
                <c:pt idx="616">
                  <c:v>33.909700000000534</c:v>
                </c:pt>
                <c:pt idx="617">
                  <c:v>33.909800000000537</c:v>
                </c:pt>
                <c:pt idx="618">
                  <c:v>33.90990000000054</c:v>
                </c:pt>
                <c:pt idx="619">
                  <c:v>33.910000000000544</c:v>
                </c:pt>
                <c:pt idx="620">
                  <c:v>33.910100000000547</c:v>
                </c:pt>
                <c:pt idx="621">
                  <c:v>33.91020000000055</c:v>
                </c:pt>
                <c:pt idx="622">
                  <c:v>33.910300000000554</c:v>
                </c:pt>
                <c:pt idx="623">
                  <c:v>33.910400000000557</c:v>
                </c:pt>
                <c:pt idx="624">
                  <c:v>33.91050000000056</c:v>
                </c:pt>
                <c:pt idx="625">
                  <c:v>33.910600000000564</c:v>
                </c:pt>
                <c:pt idx="626">
                  <c:v>33.910700000000567</c:v>
                </c:pt>
                <c:pt idx="627">
                  <c:v>33.91080000000057</c:v>
                </c:pt>
                <c:pt idx="628">
                  <c:v>33.910900000000574</c:v>
                </c:pt>
                <c:pt idx="629">
                  <c:v>33.911000000000577</c:v>
                </c:pt>
                <c:pt idx="630">
                  <c:v>33.91110000000058</c:v>
                </c:pt>
                <c:pt idx="631">
                  <c:v>33.911200000000584</c:v>
                </c:pt>
                <c:pt idx="632">
                  <c:v>33.911300000000587</c:v>
                </c:pt>
                <c:pt idx="633">
                  <c:v>33.91140000000059</c:v>
                </c:pt>
                <c:pt idx="634">
                  <c:v>33.911500000000594</c:v>
                </c:pt>
                <c:pt idx="635">
                  <c:v>33.911600000000597</c:v>
                </c:pt>
                <c:pt idx="636">
                  <c:v>33.9117000000006</c:v>
                </c:pt>
                <c:pt idx="637">
                  <c:v>33.911800000000603</c:v>
                </c:pt>
                <c:pt idx="638">
                  <c:v>33.911900000000607</c:v>
                </c:pt>
                <c:pt idx="639">
                  <c:v>33.91200000000061</c:v>
                </c:pt>
                <c:pt idx="640">
                  <c:v>33.912100000000613</c:v>
                </c:pt>
                <c:pt idx="641">
                  <c:v>33.912200000000617</c:v>
                </c:pt>
                <c:pt idx="642">
                  <c:v>33.91230000000062</c:v>
                </c:pt>
                <c:pt idx="643">
                  <c:v>33.912400000000623</c:v>
                </c:pt>
                <c:pt idx="644">
                  <c:v>33.912500000000627</c:v>
                </c:pt>
                <c:pt idx="645">
                  <c:v>33.91260000000063</c:v>
                </c:pt>
                <c:pt idx="646">
                  <c:v>33.912700000000633</c:v>
                </c:pt>
                <c:pt idx="647">
                  <c:v>33.912800000000637</c:v>
                </c:pt>
                <c:pt idx="648">
                  <c:v>33.91290000000064</c:v>
                </c:pt>
                <c:pt idx="649">
                  <c:v>33.913000000000643</c:v>
                </c:pt>
                <c:pt idx="650">
                  <c:v>33.913100000000647</c:v>
                </c:pt>
                <c:pt idx="651">
                  <c:v>33.91320000000065</c:v>
                </c:pt>
                <c:pt idx="652">
                  <c:v>33.913300000000653</c:v>
                </c:pt>
                <c:pt idx="653">
                  <c:v>33.913400000000657</c:v>
                </c:pt>
                <c:pt idx="654">
                  <c:v>33.91350000000066</c:v>
                </c:pt>
                <c:pt idx="655">
                  <c:v>33.913600000000663</c:v>
                </c:pt>
                <c:pt idx="656">
                  <c:v>33.913700000000667</c:v>
                </c:pt>
                <c:pt idx="657">
                  <c:v>33.91380000000067</c:v>
                </c:pt>
                <c:pt idx="658">
                  <c:v>33.913900000000673</c:v>
                </c:pt>
                <c:pt idx="659">
                  <c:v>33.914000000000676</c:v>
                </c:pt>
                <c:pt idx="660">
                  <c:v>33.91410000000068</c:v>
                </c:pt>
                <c:pt idx="661">
                  <c:v>33.914200000000683</c:v>
                </c:pt>
                <c:pt idx="662">
                  <c:v>33.914300000000686</c:v>
                </c:pt>
                <c:pt idx="663">
                  <c:v>33.91440000000069</c:v>
                </c:pt>
                <c:pt idx="664">
                  <c:v>33.914500000000693</c:v>
                </c:pt>
                <c:pt idx="665">
                  <c:v>33.914600000000696</c:v>
                </c:pt>
                <c:pt idx="666">
                  <c:v>33.9147000000007</c:v>
                </c:pt>
                <c:pt idx="667">
                  <c:v>33.914800000000703</c:v>
                </c:pt>
                <c:pt idx="668">
                  <c:v>33.914900000000706</c:v>
                </c:pt>
                <c:pt idx="669">
                  <c:v>33.91500000000071</c:v>
                </c:pt>
                <c:pt idx="670">
                  <c:v>33.915100000000713</c:v>
                </c:pt>
                <c:pt idx="671">
                  <c:v>33.915200000000716</c:v>
                </c:pt>
                <c:pt idx="672">
                  <c:v>33.91530000000072</c:v>
                </c:pt>
                <c:pt idx="673">
                  <c:v>33.915400000000723</c:v>
                </c:pt>
                <c:pt idx="674">
                  <c:v>33.915500000000726</c:v>
                </c:pt>
                <c:pt idx="675">
                  <c:v>33.91560000000073</c:v>
                </c:pt>
                <c:pt idx="676">
                  <c:v>33.915700000000733</c:v>
                </c:pt>
                <c:pt idx="677">
                  <c:v>33.915800000000736</c:v>
                </c:pt>
                <c:pt idx="678">
                  <c:v>33.91590000000074</c:v>
                </c:pt>
                <c:pt idx="679">
                  <c:v>33.916000000000743</c:v>
                </c:pt>
                <c:pt idx="680">
                  <c:v>33.916100000000746</c:v>
                </c:pt>
                <c:pt idx="681">
                  <c:v>33.91620000000075</c:v>
                </c:pt>
                <c:pt idx="682">
                  <c:v>33.916300000000753</c:v>
                </c:pt>
                <c:pt idx="683">
                  <c:v>33.916400000000756</c:v>
                </c:pt>
                <c:pt idx="684">
                  <c:v>33.916500000000759</c:v>
                </c:pt>
                <c:pt idx="685">
                  <c:v>33.916600000000763</c:v>
                </c:pt>
                <c:pt idx="686">
                  <c:v>33.916700000000766</c:v>
                </c:pt>
                <c:pt idx="687">
                  <c:v>33.916800000000769</c:v>
                </c:pt>
                <c:pt idx="688">
                  <c:v>33.916900000000773</c:v>
                </c:pt>
                <c:pt idx="689">
                  <c:v>33.917000000000776</c:v>
                </c:pt>
                <c:pt idx="690">
                  <c:v>33.917100000000779</c:v>
                </c:pt>
                <c:pt idx="691">
                  <c:v>33.917200000000783</c:v>
                </c:pt>
                <c:pt idx="692">
                  <c:v>33.917300000000786</c:v>
                </c:pt>
                <c:pt idx="693">
                  <c:v>33.917400000000789</c:v>
                </c:pt>
                <c:pt idx="694">
                  <c:v>33.917500000000793</c:v>
                </c:pt>
                <c:pt idx="695">
                  <c:v>33.917600000000796</c:v>
                </c:pt>
                <c:pt idx="696">
                  <c:v>33.917700000000799</c:v>
                </c:pt>
                <c:pt idx="697">
                  <c:v>33.917800000000803</c:v>
                </c:pt>
                <c:pt idx="698">
                  <c:v>33.917900000000806</c:v>
                </c:pt>
                <c:pt idx="699">
                  <c:v>33.918000000000809</c:v>
                </c:pt>
                <c:pt idx="700">
                  <c:v>33.918100000000813</c:v>
                </c:pt>
                <c:pt idx="701">
                  <c:v>33.918200000000816</c:v>
                </c:pt>
                <c:pt idx="702">
                  <c:v>33.918300000000819</c:v>
                </c:pt>
                <c:pt idx="703">
                  <c:v>33.918400000000823</c:v>
                </c:pt>
                <c:pt idx="704">
                  <c:v>33.918500000000826</c:v>
                </c:pt>
                <c:pt idx="705">
                  <c:v>33.918600000000829</c:v>
                </c:pt>
                <c:pt idx="706">
                  <c:v>33.918700000000833</c:v>
                </c:pt>
                <c:pt idx="707">
                  <c:v>33.918800000000836</c:v>
                </c:pt>
                <c:pt idx="708">
                  <c:v>33.918900000000839</c:v>
                </c:pt>
                <c:pt idx="709">
                  <c:v>33.919000000000842</c:v>
                </c:pt>
                <c:pt idx="710">
                  <c:v>33.919100000000846</c:v>
                </c:pt>
                <c:pt idx="711">
                  <c:v>33.919200000000849</c:v>
                </c:pt>
                <c:pt idx="712">
                  <c:v>33.919300000000852</c:v>
                </c:pt>
                <c:pt idx="713">
                  <c:v>33.919400000000856</c:v>
                </c:pt>
                <c:pt idx="714">
                  <c:v>33.919500000000859</c:v>
                </c:pt>
                <c:pt idx="715">
                  <c:v>33.919600000000862</c:v>
                </c:pt>
                <c:pt idx="716">
                  <c:v>33.919700000000866</c:v>
                </c:pt>
                <c:pt idx="717">
                  <c:v>33.919800000000869</c:v>
                </c:pt>
                <c:pt idx="718">
                  <c:v>33.919900000000872</c:v>
                </c:pt>
                <c:pt idx="719">
                  <c:v>33.920000000000876</c:v>
                </c:pt>
                <c:pt idx="720">
                  <c:v>33.920100000000879</c:v>
                </c:pt>
                <c:pt idx="721">
                  <c:v>33.920200000000882</c:v>
                </c:pt>
                <c:pt idx="722">
                  <c:v>33.920300000000886</c:v>
                </c:pt>
                <c:pt idx="723">
                  <c:v>33.920400000000889</c:v>
                </c:pt>
                <c:pt idx="724">
                  <c:v>33.920500000000892</c:v>
                </c:pt>
                <c:pt idx="725">
                  <c:v>33.920600000000896</c:v>
                </c:pt>
                <c:pt idx="726">
                  <c:v>33.920700000000899</c:v>
                </c:pt>
                <c:pt idx="727">
                  <c:v>33.920800000000902</c:v>
                </c:pt>
                <c:pt idx="728">
                  <c:v>33.920900000000906</c:v>
                </c:pt>
                <c:pt idx="729">
                  <c:v>33.921000000000909</c:v>
                </c:pt>
                <c:pt idx="730">
                  <c:v>33.921100000000912</c:v>
                </c:pt>
                <c:pt idx="731">
                  <c:v>33.921200000000916</c:v>
                </c:pt>
                <c:pt idx="732">
                  <c:v>33.921300000000919</c:v>
                </c:pt>
                <c:pt idx="733">
                  <c:v>33.921400000000922</c:v>
                </c:pt>
                <c:pt idx="734">
                  <c:v>33.921500000000925</c:v>
                </c:pt>
                <c:pt idx="735">
                  <c:v>33.921600000000929</c:v>
                </c:pt>
                <c:pt idx="736">
                  <c:v>33.921700000000932</c:v>
                </c:pt>
                <c:pt idx="737">
                  <c:v>33.921800000000935</c:v>
                </c:pt>
                <c:pt idx="738">
                  <c:v>33.921900000000939</c:v>
                </c:pt>
                <c:pt idx="739">
                  <c:v>33.922000000000942</c:v>
                </c:pt>
                <c:pt idx="740">
                  <c:v>33.922100000000945</c:v>
                </c:pt>
                <c:pt idx="741">
                  <c:v>33.922200000000949</c:v>
                </c:pt>
                <c:pt idx="742">
                  <c:v>33.922300000000952</c:v>
                </c:pt>
                <c:pt idx="743">
                  <c:v>33.922400000000955</c:v>
                </c:pt>
                <c:pt idx="744">
                  <c:v>33.922500000000959</c:v>
                </c:pt>
                <c:pt idx="745">
                  <c:v>33.922600000000962</c:v>
                </c:pt>
                <c:pt idx="746">
                  <c:v>33.922700000000965</c:v>
                </c:pt>
                <c:pt idx="747">
                  <c:v>33.922800000000969</c:v>
                </c:pt>
                <c:pt idx="748">
                  <c:v>33.922900000000972</c:v>
                </c:pt>
                <c:pt idx="749">
                  <c:v>33.923000000000975</c:v>
                </c:pt>
                <c:pt idx="750">
                  <c:v>33.923100000000979</c:v>
                </c:pt>
                <c:pt idx="751">
                  <c:v>33.923200000000982</c:v>
                </c:pt>
                <c:pt idx="752">
                  <c:v>33.923300000000985</c:v>
                </c:pt>
                <c:pt idx="753">
                  <c:v>33.923400000000989</c:v>
                </c:pt>
                <c:pt idx="754">
                  <c:v>33.923500000000992</c:v>
                </c:pt>
                <c:pt idx="755">
                  <c:v>33.923600000000995</c:v>
                </c:pt>
                <c:pt idx="756">
                  <c:v>33.923700000000999</c:v>
                </c:pt>
                <c:pt idx="757">
                  <c:v>33.923800000001002</c:v>
                </c:pt>
                <c:pt idx="758">
                  <c:v>33.923900000001005</c:v>
                </c:pt>
                <c:pt idx="759">
                  <c:v>33.924000000001008</c:v>
                </c:pt>
                <c:pt idx="760">
                  <c:v>33.924100000001012</c:v>
                </c:pt>
                <c:pt idx="761">
                  <c:v>33.924200000001015</c:v>
                </c:pt>
                <c:pt idx="762">
                  <c:v>33.924300000001018</c:v>
                </c:pt>
                <c:pt idx="763">
                  <c:v>33.924400000001022</c:v>
                </c:pt>
                <c:pt idx="764">
                  <c:v>33.924500000001025</c:v>
                </c:pt>
                <c:pt idx="765">
                  <c:v>33.924600000001028</c:v>
                </c:pt>
                <c:pt idx="766">
                  <c:v>33.924700000001032</c:v>
                </c:pt>
                <c:pt idx="767">
                  <c:v>33.924800000001035</c:v>
                </c:pt>
                <c:pt idx="768">
                  <c:v>33.924900000001038</c:v>
                </c:pt>
                <c:pt idx="769">
                  <c:v>33.925000000001042</c:v>
                </c:pt>
                <c:pt idx="770">
                  <c:v>33.925100000001045</c:v>
                </c:pt>
                <c:pt idx="771">
                  <c:v>33.925200000001048</c:v>
                </c:pt>
                <c:pt idx="772">
                  <c:v>33.925300000001052</c:v>
                </c:pt>
                <c:pt idx="773">
                  <c:v>33.925400000001055</c:v>
                </c:pt>
                <c:pt idx="774">
                  <c:v>33.925500000001058</c:v>
                </c:pt>
                <c:pt idx="775">
                  <c:v>33.925600000001062</c:v>
                </c:pt>
                <c:pt idx="776">
                  <c:v>33.925700000001065</c:v>
                </c:pt>
                <c:pt idx="777">
                  <c:v>33.925800000001068</c:v>
                </c:pt>
                <c:pt idx="778">
                  <c:v>33.925900000001072</c:v>
                </c:pt>
                <c:pt idx="779">
                  <c:v>33.926000000001075</c:v>
                </c:pt>
                <c:pt idx="780">
                  <c:v>33.926100000001078</c:v>
                </c:pt>
                <c:pt idx="781">
                  <c:v>33.926200000001081</c:v>
                </c:pt>
                <c:pt idx="782">
                  <c:v>33.926300000001085</c:v>
                </c:pt>
                <c:pt idx="783">
                  <c:v>33.926400000001088</c:v>
                </c:pt>
                <c:pt idx="784">
                  <c:v>33.926500000001091</c:v>
                </c:pt>
                <c:pt idx="785">
                  <c:v>33.926600000001095</c:v>
                </c:pt>
                <c:pt idx="786">
                  <c:v>33.926700000001098</c:v>
                </c:pt>
                <c:pt idx="787">
                  <c:v>33.926800000001101</c:v>
                </c:pt>
                <c:pt idx="788">
                  <c:v>33.926900000001105</c:v>
                </c:pt>
                <c:pt idx="789">
                  <c:v>33.927000000001108</c:v>
                </c:pt>
                <c:pt idx="790">
                  <c:v>33.927100000001111</c:v>
                </c:pt>
                <c:pt idx="791">
                  <c:v>33.927200000001115</c:v>
                </c:pt>
                <c:pt idx="792">
                  <c:v>33.927300000001118</c:v>
                </c:pt>
                <c:pt idx="793">
                  <c:v>33.927400000001121</c:v>
                </c:pt>
                <c:pt idx="794">
                  <c:v>33.927500000001125</c:v>
                </c:pt>
                <c:pt idx="795">
                  <c:v>33.927600000001128</c:v>
                </c:pt>
                <c:pt idx="796">
                  <c:v>33.927700000001131</c:v>
                </c:pt>
                <c:pt idx="797">
                  <c:v>33.927800000001135</c:v>
                </c:pt>
                <c:pt idx="798">
                  <c:v>33.927900000001138</c:v>
                </c:pt>
                <c:pt idx="799">
                  <c:v>33.928000000001141</c:v>
                </c:pt>
                <c:pt idx="800">
                  <c:v>33.928100000001145</c:v>
                </c:pt>
                <c:pt idx="801">
                  <c:v>33.928200000001148</c:v>
                </c:pt>
                <c:pt idx="802">
                  <c:v>33.928300000001151</c:v>
                </c:pt>
                <c:pt idx="803">
                  <c:v>33.928400000001155</c:v>
                </c:pt>
                <c:pt idx="804">
                  <c:v>33.928500000001158</c:v>
                </c:pt>
                <c:pt idx="805">
                  <c:v>33.928600000001161</c:v>
                </c:pt>
                <c:pt idx="806">
                  <c:v>33.928700000001164</c:v>
                </c:pt>
                <c:pt idx="807">
                  <c:v>33.928800000001168</c:v>
                </c:pt>
                <c:pt idx="808">
                  <c:v>33.928900000001171</c:v>
                </c:pt>
                <c:pt idx="809">
                  <c:v>33.929000000001174</c:v>
                </c:pt>
                <c:pt idx="810">
                  <c:v>33.929100000001178</c:v>
                </c:pt>
                <c:pt idx="811">
                  <c:v>33.929200000001181</c:v>
                </c:pt>
                <c:pt idx="812">
                  <c:v>33.929300000001184</c:v>
                </c:pt>
                <c:pt idx="813">
                  <c:v>33.929400000001188</c:v>
                </c:pt>
                <c:pt idx="814">
                  <c:v>33.929500000001191</c:v>
                </c:pt>
                <c:pt idx="815">
                  <c:v>33.929600000001194</c:v>
                </c:pt>
                <c:pt idx="816">
                  <c:v>33.929700000001198</c:v>
                </c:pt>
                <c:pt idx="817">
                  <c:v>33.929800000001201</c:v>
                </c:pt>
                <c:pt idx="818">
                  <c:v>33.929900000001204</c:v>
                </c:pt>
                <c:pt idx="819">
                  <c:v>33.930000000001208</c:v>
                </c:pt>
                <c:pt idx="820">
                  <c:v>33.930100000001211</c:v>
                </c:pt>
                <c:pt idx="821">
                  <c:v>33.930200000001214</c:v>
                </c:pt>
                <c:pt idx="822">
                  <c:v>33.930300000001218</c:v>
                </c:pt>
                <c:pt idx="823">
                  <c:v>33.930400000001221</c:v>
                </c:pt>
                <c:pt idx="824">
                  <c:v>33.930500000001224</c:v>
                </c:pt>
                <c:pt idx="825">
                  <c:v>33.930600000001228</c:v>
                </c:pt>
                <c:pt idx="826">
                  <c:v>33.930700000001231</c:v>
                </c:pt>
                <c:pt idx="827">
                  <c:v>33.930800000001234</c:v>
                </c:pt>
                <c:pt idx="828">
                  <c:v>33.930900000001238</c:v>
                </c:pt>
                <c:pt idx="829">
                  <c:v>33.931000000001241</c:v>
                </c:pt>
                <c:pt idx="830">
                  <c:v>33.931100000001244</c:v>
                </c:pt>
                <c:pt idx="831">
                  <c:v>33.931200000001247</c:v>
                </c:pt>
                <c:pt idx="832">
                  <c:v>33.931300000001251</c:v>
                </c:pt>
                <c:pt idx="833">
                  <c:v>33.931400000001254</c:v>
                </c:pt>
                <c:pt idx="834">
                  <c:v>33.931500000001257</c:v>
                </c:pt>
                <c:pt idx="835">
                  <c:v>33.931600000001261</c:v>
                </c:pt>
                <c:pt idx="836">
                  <c:v>33.931700000001264</c:v>
                </c:pt>
                <c:pt idx="837">
                  <c:v>33.931800000001267</c:v>
                </c:pt>
                <c:pt idx="838">
                  <c:v>33.931900000001271</c:v>
                </c:pt>
                <c:pt idx="839">
                  <c:v>33.932000000001274</c:v>
                </c:pt>
                <c:pt idx="840">
                  <c:v>33.932100000001277</c:v>
                </c:pt>
                <c:pt idx="841">
                  <c:v>33.932200000001281</c:v>
                </c:pt>
                <c:pt idx="842">
                  <c:v>33.932300000001284</c:v>
                </c:pt>
                <c:pt idx="843">
                  <c:v>33.932400000001287</c:v>
                </c:pt>
                <c:pt idx="844">
                  <c:v>33.932500000001291</c:v>
                </c:pt>
                <c:pt idx="845">
                  <c:v>33.932600000001294</c:v>
                </c:pt>
                <c:pt idx="846">
                  <c:v>33.932700000001297</c:v>
                </c:pt>
                <c:pt idx="847">
                  <c:v>33.932800000001301</c:v>
                </c:pt>
                <c:pt idx="848">
                  <c:v>33.932900000001304</c:v>
                </c:pt>
                <c:pt idx="849">
                  <c:v>33.933000000001307</c:v>
                </c:pt>
                <c:pt idx="850">
                  <c:v>33.933100000001311</c:v>
                </c:pt>
                <c:pt idx="851">
                  <c:v>33.933200000001314</c:v>
                </c:pt>
                <c:pt idx="852">
                  <c:v>33.933300000001317</c:v>
                </c:pt>
                <c:pt idx="853">
                  <c:v>33.933400000001321</c:v>
                </c:pt>
                <c:pt idx="854">
                  <c:v>33.933500000001324</c:v>
                </c:pt>
                <c:pt idx="855">
                  <c:v>33.933600000001327</c:v>
                </c:pt>
                <c:pt idx="856">
                  <c:v>33.93370000000133</c:v>
                </c:pt>
                <c:pt idx="857">
                  <c:v>33.933800000001334</c:v>
                </c:pt>
                <c:pt idx="858">
                  <c:v>33.933900000001337</c:v>
                </c:pt>
                <c:pt idx="859">
                  <c:v>33.93400000000134</c:v>
                </c:pt>
                <c:pt idx="860">
                  <c:v>33.934100000001344</c:v>
                </c:pt>
                <c:pt idx="861">
                  <c:v>33.934200000001347</c:v>
                </c:pt>
                <c:pt idx="862">
                  <c:v>33.93430000000135</c:v>
                </c:pt>
                <c:pt idx="863">
                  <c:v>33.934400000001354</c:v>
                </c:pt>
                <c:pt idx="864">
                  <c:v>33.934500000001357</c:v>
                </c:pt>
                <c:pt idx="865">
                  <c:v>33.93460000000136</c:v>
                </c:pt>
                <c:pt idx="866">
                  <c:v>33.934700000001364</c:v>
                </c:pt>
                <c:pt idx="867">
                  <c:v>33.934800000001367</c:v>
                </c:pt>
                <c:pt idx="868">
                  <c:v>33.93490000000137</c:v>
                </c:pt>
                <c:pt idx="869">
                  <c:v>33.935000000001374</c:v>
                </c:pt>
                <c:pt idx="870">
                  <c:v>33.935100000001377</c:v>
                </c:pt>
                <c:pt idx="871">
                  <c:v>33.93520000000138</c:v>
                </c:pt>
                <c:pt idx="872">
                  <c:v>33.935300000001384</c:v>
                </c:pt>
                <c:pt idx="873">
                  <c:v>33.935400000001387</c:v>
                </c:pt>
                <c:pt idx="874">
                  <c:v>33.93550000000139</c:v>
                </c:pt>
                <c:pt idx="875">
                  <c:v>33.935600000001394</c:v>
                </c:pt>
                <c:pt idx="876">
                  <c:v>33.935700000001397</c:v>
                </c:pt>
                <c:pt idx="877">
                  <c:v>33.9358000000014</c:v>
                </c:pt>
                <c:pt idx="878">
                  <c:v>33.935900000001403</c:v>
                </c:pt>
                <c:pt idx="879">
                  <c:v>33.936000000001407</c:v>
                </c:pt>
                <c:pt idx="880">
                  <c:v>33.93610000000141</c:v>
                </c:pt>
                <c:pt idx="881">
                  <c:v>33.936200000001413</c:v>
                </c:pt>
                <c:pt idx="882">
                  <c:v>33.936300000001417</c:v>
                </c:pt>
                <c:pt idx="883">
                  <c:v>33.93640000000142</c:v>
                </c:pt>
                <c:pt idx="884">
                  <c:v>33.936500000001423</c:v>
                </c:pt>
                <c:pt idx="885">
                  <c:v>33.936600000001427</c:v>
                </c:pt>
                <c:pt idx="886">
                  <c:v>33.93670000000143</c:v>
                </c:pt>
                <c:pt idx="887">
                  <c:v>33.936800000001433</c:v>
                </c:pt>
                <c:pt idx="888">
                  <c:v>33.936900000001437</c:v>
                </c:pt>
                <c:pt idx="889">
                  <c:v>33.93700000000144</c:v>
                </c:pt>
                <c:pt idx="890">
                  <c:v>33.937100000001443</c:v>
                </c:pt>
                <c:pt idx="891">
                  <c:v>33.937200000001447</c:v>
                </c:pt>
                <c:pt idx="892">
                  <c:v>33.93730000000145</c:v>
                </c:pt>
                <c:pt idx="893">
                  <c:v>33.937400000001453</c:v>
                </c:pt>
                <c:pt idx="894">
                  <c:v>33.937500000001457</c:v>
                </c:pt>
                <c:pt idx="895">
                  <c:v>33.93760000000146</c:v>
                </c:pt>
                <c:pt idx="896">
                  <c:v>33.937700000001463</c:v>
                </c:pt>
                <c:pt idx="897">
                  <c:v>33.937800000001467</c:v>
                </c:pt>
                <c:pt idx="898">
                  <c:v>33.93790000000147</c:v>
                </c:pt>
                <c:pt idx="899">
                  <c:v>33.938000000001473</c:v>
                </c:pt>
                <c:pt idx="900">
                  <c:v>33.938100000001477</c:v>
                </c:pt>
                <c:pt idx="901">
                  <c:v>33.93820000000148</c:v>
                </c:pt>
                <c:pt idx="902">
                  <c:v>33.938300000001483</c:v>
                </c:pt>
                <c:pt idx="903">
                  <c:v>33.938400000001486</c:v>
                </c:pt>
                <c:pt idx="904">
                  <c:v>33.93850000000149</c:v>
                </c:pt>
                <c:pt idx="905">
                  <c:v>33.938600000001493</c:v>
                </c:pt>
                <c:pt idx="906">
                  <c:v>33.938700000001496</c:v>
                </c:pt>
                <c:pt idx="907">
                  <c:v>33.9388000000015</c:v>
                </c:pt>
                <c:pt idx="908">
                  <c:v>33.938900000001503</c:v>
                </c:pt>
                <c:pt idx="909">
                  <c:v>33.939000000001506</c:v>
                </c:pt>
                <c:pt idx="910">
                  <c:v>33.93910000000151</c:v>
                </c:pt>
                <c:pt idx="911">
                  <c:v>33.939200000001513</c:v>
                </c:pt>
                <c:pt idx="912">
                  <c:v>33.939300000001516</c:v>
                </c:pt>
                <c:pt idx="913">
                  <c:v>33.93940000000152</c:v>
                </c:pt>
                <c:pt idx="914">
                  <c:v>33.939500000001523</c:v>
                </c:pt>
                <c:pt idx="915">
                  <c:v>33.939600000001526</c:v>
                </c:pt>
                <c:pt idx="916">
                  <c:v>33.93970000000153</c:v>
                </c:pt>
                <c:pt idx="917">
                  <c:v>33.939800000001533</c:v>
                </c:pt>
                <c:pt idx="918">
                  <c:v>33.939900000001536</c:v>
                </c:pt>
                <c:pt idx="919">
                  <c:v>33.94000000000154</c:v>
                </c:pt>
                <c:pt idx="920">
                  <c:v>33.940100000001543</c:v>
                </c:pt>
                <c:pt idx="921">
                  <c:v>33.940200000001546</c:v>
                </c:pt>
                <c:pt idx="922">
                  <c:v>33.94030000000155</c:v>
                </c:pt>
                <c:pt idx="923">
                  <c:v>33.940400000001553</c:v>
                </c:pt>
                <c:pt idx="924">
                  <c:v>33.940500000001556</c:v>
                </c:pt>
                <c:pt idx="925">
                  <c:v>33.94060000000156</c:v>
                </c:pt>
                <c:pt idx="926">
                  <c:v>33.940700000001563</c:v>
                </c:pt>
                <c:pt idx="927">
                  <c:v>33.940800000001566</c:v>
                </c:pt>
                <c:pt idx="928">
                  <c:v>33.940900000001569</c:v>
                </c:pt>
                <c:pt idx="929">
                  <c:v>33.941000000001573</c:v>
                </c:pt>
                <c:pt idx="930">
                  <c:v>33.941100000001576</c:v>
                </c:pt>
                <c:pt idx="931">
                  <c:v>33.941200000001579</c:v>
                </c:pt>
                <c:pt idx="932">
                  <c:v>33.941300000001583</c:v>
                </c:pt>
                <c:pt idx="933">
                  <c:v>33.941400000001586</c:v>
                </c:pt>
                <c:pt idx="934">
                  <c:v>33.941500000001589</c:v>
                </c:pt>
                <c:pt idx="935">
                  <c:v>33.941600000001593</c:v>
                </c:pt>
                <c:pt idx="936">
                  <c:v>33.941700000001596</c:v>
                </c:pt>
                <c:pt idx="937">
                  <c:v>33.941800000001599</c:v>
                </c:pt>
                <c:pt idx="938">
                  <c:v>33.941900000001603</c:v>
                </c:pt>
                <c:pt idx="939">
                  <c:v>33.942000000001606</c:v>
                </c:pt>
                <c:pt idx="940">
                  <c:v>33.942100000001609</c:v>
                </c:pt>
                <c:pt idx="941">
                  <c:v>33.942200000001613</c:v>
                </c:pt>
                <c:pt idx="942">
                  <c:v>33.942300000001616</c:v>
                </c:pt>
                <c:pt idx="943">
                  <c:v>33.942400000001619</c:v>
                </c:pt>
                <c:pt idx="944">
                  <c:v>33.942500000001623</c:v>
                </c:pt>
                <c:pt idx="945">
                  <c:v>33.942600000001626</c:v>
                </c:pt>
                <c:pt idx="946">
                  <c:v>33.942700000001629</c:v>
                </c:pt>
                <c:pt idx="947">
                  <c:v>33.942800000001633</c:v>
                </c:pt>
                <c:pt idx="948">
                  <c:v>33.942900000001636</c:v>
                </c:pt>
                <c:pt idx="949">
                  <c:v>33.943000000001639</c:v>
                </c:pt>
                <c:pt idx="950">
                  <c:v>33.943100000001643</c:v>
                </c:pt>
                <c:pt idx="951">
                  <c:v>33.943200000001646</c:v>
                </c:pt>
                <c:pt idx="952">
                  <c:v>33.943300000001649</c:v>
                </c:pt>
                <c:pt idx="953">
                  <c:v>33.943400000001652</c:v>
                </c:pt>
                <c:pt idx="954">
                  <c:v>33.943500000001656</c:v>
                </c:pt>
                <c:pt idx="955">
                  <c:v>33.943600000001659</c:v>
                </c:pt>
                <c:pt idx="956">
                  <c:v>33.943700000001662</c:v>
                </c:pt>
                <c:pt idx="957">
                  <c:v>33.943800000001666</c:v>
                </c:pt>
                <c:pt idx="958">
                  <c:v>33.943900000001669</c:v>
                </c:pt>
                <c:pt idx="959">
                  <c:v>33.944000000001672</c:v>
                </c:pt>
                <c:pt idx="960">
                  <c:v>33.944100000001676</c:v>
                </c:pt>
                <c:pt idx="961">
                  <c:v>33.944200000001679</c:v>
                </c:pt>
                <c:pt idx="962">
                  <c:v>33.944300000001682</c:v>
                </c:pt>
                <c:pt idx="963">
                  <c:v>33.944400000001686</c:v>
                </c:pt>
                <c:pt idx="964">
                  <c:v>33.944500000001689</c:v>
                </c:pt>
                <c:pt idx="965">
                  <c:v>33.944600000001692</c:v>
                </c:pt>
                <c:pt idx="966">
                  <c:v>33.944700000001696</c:v>
                </c:pt>
                <c:pt idx="967">
                  <c:v>33.944800000001699</c:v>
                </c:pt>
                <c:pt idx="968">
                  <c:v>33.944900000001702</c:v>
                </c:pt>
                <c:pt idx="969">
                  <c:v>33.945000000001706</c:v>
                </c:pt>
                <c:pt idx="970">
                  <c:v>33.945100000001709</c:v>
                </c:pt>
                <c:pt idx="971">
                  <c:v>33.945200000001712</c:v>
                </c:pt>
                <c:pt idx="972">
                  <c:v>33.945300000001716</c:v>
                </c:pt>
                <c:pt idx="973">
                  <c:v>33.945400000001719</c:v>
                </c:pt>
                <c:pt idx="974">
                  <c:v>33.945500000001722</c:v>
                </c:pt>
                <c:pt idx="975">
                  <c:v>33.945600000001726</c:v>
                </c:pt>
                <c:pt idx="976">
                  <c:v>33.945700000001729</c:v>
                </c:pt>
                <c:pt idx="977">
                  <c:v>33.945800000001732</c:v>
                </c:pt>
                <c:pt idx="978">
                  <c:v>33.945900000001735</c:v>
                </c:pt>
                <c:pt idx="979">
                  <c:v>33.946000000001739</c:v>
                </c:pt>
                <c:pt idx="980">
                  <c:v>33.946100000001742</c:v>
                </c:pt>
                <c:pt idx="981">
                  <c:v>33.946200000001745</c:v>
                </c:pt>
                <c:pt idx="982">
                  <c:v>33.946300000001749</c:v>
                </c:pt>
                <c:pt idx="983">
                  <c:v>33.946400000001752</c:v>
                </c:pt>
                <c:pt idx="984">
                  <c:v>33.946500000001755</c:v>
                </c:pt>
                <c:pt idx="985">
                  <c:v>33.946600000001759</c:v>
                </c:pt>
                <c:pt idx="986">
                  <c:v>33.946700000001762</c:v>
                </c:pt>
                <c:pt idx="987">
                  <c:v>33.946800000001765</c:v>
                </c:pt>
                <c:pt idx="988">
                  <c:v>33.946900000001769</c:v>
                </c:pt>
                <c:pt idx="989">
                  <c:v>33.947000000001772</c:v>
                </c:pt>
                <c:pt idx="990">
                  <c:v>33.947100000001775</c:v>
                </c:pt>
                <c:pt idx="991">
                  <c:v>33.947200000001779</c:v>
                </c:pt>
                <c:pt idx="992">
                  <c:v>33.947300000001782</c:v>
                </c:pt>
                <c:pt idx="993">
                  <c:v>33.947400000001785</c:v>
                </c:pt>
                <c:pt idx="994">
                  <c:v>33.947500000001789</c:v>
                </c:pt>
                <c:pt idx="995">
                  <c:v>33.947600000001792</c:v>
                </c:pt>
                <c:pt idx="996">
                  <c:v>33.947700000001795</c:v>
                </c:pt>
                <c:pt idx="997">
                  <c:v>33.947800000001799</c:v>
                </c:pt>
                <c:pt idx="998">
                  <c:v>33.947900000001802</c:v>
                </c:pt>
                <c:pt idx="999">
                  <c:v>33.948000000001805</c:v>
                </c:pt>
                <c:pt idx="1000">
                  <c:v>33.948100000001808</c:v>
                </c:pt>
              </c:numCache>
            </c:numRef>
          </c:xVal>
          <c:yVal>
            <c:numRef>
              <c:f>Calculs!$I$4:$I$1004</c:f>
              <c:numCache>
                <c:formatCode>0.00</c:formatCode>
                <c:ptCount val="1001"/>
                <c:pt idx="0">
                  <c:v>0</c:v>
                </c:pt>
                <c:pt idx="1">
                  <c:v>0.17593017862371757</c:v>
                </c:pt>
                <c:pt idx="2">
                  <c:v>1.1105997448941167</c:v>
                </c:pt>
                <c:pt idx="3">
                  <c:v>2.5076420869112841</c:v>
                </c:pt>
                <c:pt idx="4">
                  <c:v>3.8563704417767122</c:v>
                </c:pt>
                <c:pt idx="5">
                  <c:v>5.1566673097043658</c:v>
                </c:pt>
                <c:pt idx="6">
                  <c:v>6.4379785606047344</c:v>
                </c:pt>
                <c:pt idx="7">
                  <c:v>7.7298306516716861</c:v>
                </c:pt>
                <c:pt idx="8">
                  <c:v>9.0322300345557149</c:v>
                </c:pt>
                <c:pt idx="9">
                  <c:v>10.345182978586628</c:v>
                </c:pt>
                <c:pt idx="10">
                  <c:v>11.668695567479112</c:v>
                </c:pt>
                <c:pt idx="11">
                  <c:v>12.99970570058429</c:v>
                </c:pt>
                <c:pt idx="12">
                  <c:v>14.335142722374252</c:v>
                </c:pt>
                <c:pt idx="13">
                  <c:v>15.674999796293287</c:v>
                </c:pt>
                <c:pt idx="14">
                  <c:v>17.019269945854106</c:v>
                </c:pt>
                <c:pt idx="15">
                  <c:v>18.367946054136659</c:v>
                </c:pt>
                <c:pt idx="16">
                  <c:v>19.721020863296079</c:v>
                </c:pt>
                <c:pt idx="17">
                  <c:v>21.078486974079834</c:v>
                </c:pt>
                <c:pt idx="18">
                  <c:v>22.440336845354349</c:v>
                </c:pt>
                <c:pt idx="19">
                  <c:v>23.806562793641103</c:v>
                </c:pt>
                <c:pt idx="20">
                  <c:v>25.177156992662454</c:v>
                </c:pt>
                <c:pt idx="21">
                  <c:v>26.550879951422807</c:v>
                </c:pt>
                <c:pt idx="22">
                  <c:v>27.926488735274702</c:v>
                </c:pt>
                <c:pt idx="23">
                  <c:v>29.303970314523749</c:v>
                </c:pt>
                <c:pt idx="24">
                  <c:v>30.683311573448041</c:v>
                </c:pt>
                <c:pt idx="25">
                  <c:v>32.064499310696448</c:v>
                </c:pt>
                <c:pt idx="26">
                  <c:v>33.447520239695976</c:v>
                </c:pt>
                <c:pt idx="27">
                  <c:v>34.832365007071814</c:v>
                </c:pt>
                <c:pt idx="28">
                  <c:v>36.219024342403721</c:v>
                </c:pt>
                <c:pt idx="29">
                  <c:v>37.607484437251699</c:v>
                </c:pt>
                <c:pt idx="30">
                  <c:v>38.997731417124157</c:v>
                </c:pt>
                <c:pt idx="31">
                  <c:v>40.38975134014693</c:v>
                </c:pt>
                <c:pt idx="32">
                  <c:v>41.783530196020926</c:v>
                </c:pt>
                <c:pt idx="33">
                  <c:v>43.179053905176019</c:v>
                </c:pt>
                <c:pt idx="34">
                  <c:v>44.576308318092735</c:v>
                </c:pt>
                <c:pt idx="35">
                  <c:v>45.975279214768435</c:v>
                </c:pt>
                <c:pt idx="36">
                  <c:v>47.375952304308548</c:v>
                </c:pt>
                <c:pt idx="37">
                  <c:v>48.778313224626807</c:v>
                </c:pt>
                <c:pt idx="38">
                  <c:v>50.182347542240954</c:v>
                </c:pt>
                <c:pt idx="39">
                  <c:v>51.588040752152558</c:v>
                </c:pt>
                <c:pt idx="40">
                  <c:v>52.995378277801336</c:v>
                </c:pt>
                <c:pt idx="41">
                  <c:v>54.403386042219594</c:v>
                </c:pt>
                <c:pt idx="42">
                  <c:v>55.811087491073955</c:v>
                </c:pt>
                <c:pt idx="43">
                  <c:v>57.218464494545877</c:v>
                </c:pt>
                <c:pt idx="44">
                  <c:v>58.625498914187212</c:v>
                </c:pt>
                <c:pt idx="45">
                  <c:v>60.032172603567652</c:v>
                </c:pt>
                <c:pt idx="46">
                  <c:v>61.43846740895853</c:v>
                </c:pt>
                <c:pt idx="47">
                  <c:v>62.844365170049372</c:v>
                </c:pt>
                <c:pt idx="48">
                  <c:v>64.24984772069368</c:v>
                </c:pt>
                <c:pt idx="49">
                  <c:v>65.654896889681083</c:v>
                </c:pt>
                <c:pt idx="50">
                  <c:v>67.059494501533266</c:v>
                </c:pt>
                <c:pt idx="51">
                  <c:v>68.4636223773214</c:v>
                </c:pt>
                <c:pt idx="52">
                  <c:v>69.867262335502915</c:v>
                </c:pt>
                <c:pt idx="53">
                  <c:v>71.270396192776076</c:v>
                </c:pt>
                <c:pt idx="54">
                  <c:v>72.673005764950531</c:v>
                </c:pt>
                <c:pt idx="55">
                  <c:v>74.075072867832333</c:v>
                </c:pt>
                <c:pt idx="56">
                  <c:v>75.476579318122432</c:v>
                </c:pt>
                <c:pt idx="57">
                  <c:v>76.877506934327187</c:v>
                </c:pt>
                <c:pt idx="58">
                  <c:v>78.277837537679815</c:v>
                </c:pt>
                <c:pt idx="59">
                  <c:v>79.677552953072194</c:v>
                </c:pt>
                <c:pt idx="60">
                  <c:v>81.076635009995613</c:v>
                </c:pt>
                <c:pt idx="61">
                  <c:v>82.475065543489976</c:v>
                </c:pt>
                <c:pt idx="62">
                  <c:v>83.872826395100844</c:v>
                </c:pt>
                <c:pt idx="63">
                  <c:v>85.269899413843149</c:v>
                </c:pt>
                <c:pt idx="64">
                  <c:v>86.666266457171503</c:v>
                </c:pt>
                <c:pt idx="65">
                  <c:v>88.061909391956235</c:v>
                </c:pt>
                <c:pt idx="66">
                  <c:v>89.456810095464576</c:v>
                </c:pt>
                <c:pt idx="67">
                  <c:v>90.850950456346624</c:v>
                </c:pt>
                <c:pt idx="68">
                  <c:v>92.244312375625626</c:v>
                </c:pt>
                <c:pt idx="69">
                  <c:v>93.636877767692013</c:v>
                </c:pt>
                <c:pt idx="70">
                  <c:v>95.028628561300863</c:v>
                </c:pt>
                <c:pt idx="71">
                  <c:v>96.419546700572454</c:v>
                </c:pt>
                <c:pt idx="72">
                  <c:v>97.809614145995354</c:v>
                </c:pt>
                <c:pt idx="73">
                  <c:v>99.198812875431969</c:v>
                </c:pt>
                <c:pt idx="74">
                  <c:v>100.58712488512592</c:v>
                </c:pt>
                <c:pt idx="75">
                  <c:v>101.9745321907112</c:v>
                </c:pt>
                <c:pt idx="76">
                  <c:v>103.36101682822276</c:v>
                </c:pt>
                <c:pt idx="77">
                  <c:v>104.74656085510794</c:v>
                </c:pt>
                <c:pt idx="78">
                  <c:v>106.13114635123894</c:v>
                </c:pt>
                <c:pt idx="79">
                  <c:v>107.51475541992583</c:v>
                </c:pt>
                <c:pt idx="80">
                  <c:v>108.8973701889296</c:v>
                </c:pt>
                <c:pt idx="81">
                  <c:v>110.27799568833258</c:v>
                </c:pt>
                <c:pt idx="82">
                  <c:v>111.65563502533563</c:v>
                </c:pt>
                <c:pt idx="83">
                  <c:v>113.03026802848112</c:v>
                </c:pt>
                <c:pt idx="84">
                  <c:v>114.40187463427733</c:v>
                </c:pt>
                <c:pt idx="85">
                  <c:v>115.77043488832653</c:v>
                </c:pt>
                <c:pt idx="86">
                  <c:v>117.13592894644141</c:v>
                </c:pt>
                <c:pt idx="87">
                  <c:v>118.49833707574963</c:v>
                </c:pt>
                <c:pt idx="88">
                  <c:v>119.8576396557864</c:v>
                </c:pt>
                <c:pt idx="89">
                  <c:v>121.21381717957478</c:v>
                </c:pt>
                <c:pt idx="90">
                  <c:v>122.56685025469334</c:v>
                </c:pt>
                <c:pt idx="91">
                  <c:v>123.91628753603432</c:v>
                </c:pt>
                <c:pt idx="92">
                  <c:v>125.2616770084593</c:v>
                </c:pt>
                <c:pt idx="93">
                  <c:v>126.60299872248135</c:v>
                </c:pt>
                <c:pt idx="94">
                  <c:v>127.94023288593084</c:v>
                </c:pt>
                <c:pt idx="95">
                  <c:v>129.27335986492821</c:v>
                </c:pt>
                <c:pt idx="96">
                  <c:v>130.60236018483727</c:v>
                </c:pt>
                <c:pt idx="97">
                  <c:v>131.9272145311993</c:v>
                </c:pt>
                <c:pt idx="98">
                  <c:v>133.24790375064774</c:v>
                </c:pt>
                <c:pt idx="99">
                  <c:v>134.56440885180288</c:v>
                </c:pt>
                <c:pt idx="100">
                  <c:v>135.87671100614716</c:v>
                </c:pt>
                <c:pt idx="101">
                  <c:v>137.18472238539866</c:v>
                </c:pt>
                <c:pt idx="102">
                  <c:v>138.48835521283121</c:v>
                </c:pt>
                <c:pt idx="103">
                  <c:v>139.78759103253455</c:v>
                </c:pt>
                <c:pt idx="104">
                  <c:v>141.0824115610898</c:v>
                </c:pt>
                <c:pt idx="105">
                  <c:v>142.37279868833153</c:v>
                </c:pt>
                <c:pt idx="106">
                  <c:v>143.65873447808804</c:v>
                </c:pt>
                <c:pt idx="107">
                  <c:v>144.94020116890096</c:v>
                </c:pt>
                <c:pt idx="108">
                  <c:v>146.21718117472273</c:v>
                </c:pt>
                <c:pt idx="109">
                  <c:v>147.48965708559342</c:v>
                </c:pt>
                <c:pt idx="110">
                  <c:v>148.75761166829551</c:v>
                </c:pt>
                <c:pt idx="111">
                  <c:v>150.02182479998424</c:v>
                </c:pt>
                <c:pt idx="112">
                  <c:v>151.28307769169373</c:v>
                </c:pt>
                <c:pt idx="113">
                  <c:v>152.54135476981932</c:v>
                </c:pt>
                <c:pt idx="114">
                  <c:v>153.79664057126359</c:v>
                </c:pt>
                <c:pt idx="115">
                  <c:v>155.04891974414008</c:v>
                </c:pt>
                <c:pt idx="116">
                  <c:v>156.29817704846499</c:v>
                </c:pt>
                <c:pt idx="117">
                  <c:v>157.54439735683653</c:v>
                </c:pt>
                <c:pt idx="118">
                  <c:v>158.78756565510187</c:v>
                </c:pt>
                <c:pt idx="119">
                  <c:v>160.02766704301203</c:v>
                </c:pt>
                <c:pt idx="120">
                  <c:v>161.26468673486417</c:v>
                </c:pt>
                <c:pt idx="121">
                  <c:v>162.49728725597689</c:v>
                </c:pt>
                <c:pt idx="122">
                  <c:v>163.72412953624948</c:v>
                </c:pt>
                <c:pt idx="123">
                  <c:v>164.94519766873239</c:v>
                </c:pt>
                <c:pt idx="124">
                  <c:v>166.16047598047496</c:v>
                </c:pt>
                <c:pt idx="125">
                  <c:v>167.36994903269704</c:v>
                </c:pt>
                <c:pt idx="126">
                  <c:v>168.57360162093181</c:v>
                </c:pt>
                <c:pt idx="127">
                  <c:v>169.77141877513984</c:v>
                </c:pt>
                <c:pt idx="128">
                  <c:v>170.96338575979428</c:v>
                </c:pt>
                <c:pt idx="129">
                  <c:v>172.14948807393787</c:v>
                </c:pt>
                <c:pt idx="130">
                  <c:v>173.3297114512113</c:v>
                </c:pt>
                <c:pt idx="131">
                  <c:v>174.50369529185059</c:v>
                </c:pt>
                <c:pt idx="132">
                  <c:v>175.67107885586955</c:v>
                </c:pt>
                <c:pt idx="133">
                  <c:v>176.83184833014641</c:v>
                </c:pt>
                <c:pt idx="134">
                  <c:v>177.98599016918624</c:v>
                </c:pt>
                <c:pt idx="135">
                  <c:v>179.13349109481865</c:v>
                </c:pt>
                <c:pt idx="136">
                  <c:v>180.27433809586319</c:v>
                </c:pt>
                <c:pt idx="137">
                  <c:v>181.40851842776289</c:v>
                </c:pt>
                <c:pt idx="138">
                  <c:v>182.53601961218646</c:v>
                </c:pt>
                <c:pt idx="139">
                  <c:v>183.65682943659877</c:v>
                </c:pt>
                <c:pt idx="140">
                  <c:v>184.77093595380038</c:v>
                </c:pt>
                <c:pt idx="141">
                  <c:v>185.87418074588732</c:v>
                </c:pt>
                <c:pt idx="142">
                  <c:v>186.96240215009581</c:v>
                </c:pt>
                <c:pt idx="143">
                  <c:v>188.03558780195459</c:v>
                </c:pt>
                <c:pt idx="144">
                  <c:v>189.09372609207222</c:v>
                </c:pt>
                <c:pt idx="145">
                  <c:v>190.1368061609364</c:v>
                </c:pt>
                <c:pt idx="146">
                  <c:v>191.16481789360526</c:v>
                </c:pt>
                <c:pt idx="147">
                  <c:v>192.17775191429263</c:v>
                </c:pt>
                <c:pt idx="148">
                  <c:v>193.17559958084999</c:v>
                </c:pt>
                <c:pt idx="149">
                  <c:v>194.15835297914768</c:v>
                </c:pt>
                <c:pt idx="150">
                  <c:v>195.12600491735753</c:v>
                </c:pt>
                <c:pt idx="151">
                  <c:v>196.07854892013998</c:v>
                </c:pt>
                <c:pt idx="152">
                  <c:v>197.01597922273763</c:v>
                </c:pt>
                <c:pt idx="153">
                  <c:v>197.93829076497795</c:v>
                </c:pt>
                <c:pt idx="154">
                  <c:v>198.84547918518805</c:v>
                </c:pt>
                <c:pt idx="155">
                  <c:v>199.7375408140233</c:v>
                </c:pt>
                <c:pt idx="156">
                  <c:v>200.59481621975235</c:v>
                </c:pt>
                <c:pt idx="157">
                  <c:v>201.39764294084836</c:v>
                </c:pt>
                <c:pt idx="158">
                  <c:v>202.14603635894505</c:v>
                </c:pt>
                <c:pt idx="159">
                  <c:v>202.84001729485382</c:v>
                </c:pt>
                <c:pt idx="160">
                  <c:v>203.47961192119672</c:v>
                </c:pt>
                <c:pt idx="161">
                  <c:v>204.0398559939739</c:v>
                </c:pt>
                <c:pt idx="162">
                  <c:v>204.49580462770268</c:v>
                </c:pt>
                <c:pt idx="163">
                  <c:v>204.8499372560818</c:v>
                </c:pt>
                <c:pt idx="164">
                  <c:v>205.10474774346102</c:v>
                </c:pt>
                <c:pt idx="165">
                  <c:v>205.28423850000635</c:v>
                </c:pt>
                <c:pt idx="166">
                  <c:v>205.41239438280903</c:v>
                </c:pt>
                <c:pt idx="167">
                  <c:v>205.4711320347557</c:v>
                </c:pt>
                <c:pt idx="168">
                  <c:v>205.45553559788289</c:v>
                </c:pt>
                <c:pt idx="169">
                  <c:v>205.32823023768108</c:v>
                </c:pt>
                <c:pt idx="170">
                  <c:v>205.07819584794765</c:v>
                </c:pt>
                <c:pt idx="171">
                  <c:v>204.78687763457981</c:v>
                </c:pt>
                <c:pt idx="172">
                  <c:v>204.49615447313673</c:v>
                </c:pt>
                <c:pt idx="173">
                  <c:v>204.20602416526441</c:v>
                </c:pt>
                <c:pt idx="174">
                  <c:v>203.91648452344475</c:v>
                </c:pt>
                <c:pt idx="175">
                  <c:v>203.62753337092863</c:v>
                </c:pt>
                <c:pt idx="176">
                  <c:v>203.33916854166918</c:v>
                </c:pt>
                <c:pt idx="177">
                  <c:v>203.05138788025562</c:v>
                </c:pt>
                <c:pt idx="178">
                  <c:v>202.76418924184762</c:v>
                </c:pt>
                <c:pt idx="179">
                  <c:v>202.4775704921102</c:v>
                </c:pt>
                <c:pt idx="180">
                  <c:v>202.191529507149</c:v>
                </c:pt>
                <c:pt idx="181">
                  <c:v>201.90606417344605</c:v>
                </c:pt>
                <c:pt idx="182">
                  <c:v>201.62117238779612</c:v>
                </c:pt>
                <c:pt idx="183">
                  <c:v>201.33685205724356</c:v>
                </c:pt>
                <c:pt idx="184">
                  <c:v>201.05310109901922</c:v>
                </c:pt>
                <c:pt idx="185">
                  <c:v>200.76991744047837</c:v>
                </c:pt>
                <c:pt idx="186">
                  <c:v>200.48729901903891</c:v>
                </c:pt>
                <c:pt idx="187">
                  <c:v>200.20524378211977</c:v>
                </c:pt>
                <c:pt idx="188">
                  <c:v>199.92374968708006</c:v>
                </c:pt>
                <c:pt idx="189">
                  <c:v>199.64281470115856</c:v>
                </c:pt>
                <c:pt idx="190">
                  <c:v>199.36243680141362</c:v>
                </c:pt>
                <c:pt idx="191">
                  <c:v>199.08261397466373</c:v>
                </c:pt>
                <c:pt idx="192">
                  <c:v>198.80334421742802</c:v>
                </c:pt>
                <c:pt idx="193">
                  <c:v>198.52462553586784</c:v>
                </c:pt>
                <c:pt idx="194">
                  <c:v>198.2464559457282</c:v>
                </c:pt>
                <c:pt idx="195">
                  <c:v>197.96883347228004</c:v>
                </c:pt>
                <c:pt idx="196">
                  <c:v>197.69175615026268</c:v>
                </c:pt>
                <c:pt idx="197">
                  <c:v>197.41522202382671</c:v>
                </c:pt>
                <c:pt idx="198">
                  <c:v>197.13922914647762</c:v>
                </c:pt>
                <c:pt idx="199">
                  <c:v>196.86377558101921</c:v>
                </c:pt>
                <c:pt idx="200">
                  <c:v>196.58885939949801</c:v>
                </c:pt>
                <c:pt idx="201">
                  <c:v>193.84514311412693</c:v>
                </c:pt>
                <c:pt idx="202">
                  <c:v>191.15436373830829</c:v>
                </c:pt>
                <c:pt idx="203">
                  <c:v>188.51466404546292</c:v>
                </c:pt>
                <c:pt idx="204">
                  <c:v>185.92427292470853</c:v>
                </c:pt>
                <c:pt idx="205">
                  <c:v>183.38150041051423</c:v>
                </c:pt>
                <c:pt idx="206">
                  <c:v>180.88473305565273</c:v>
                </c:pt>
                <c:pt idx="207">
                  <c:v>178.43242962005019</c:v>
                </c:pt>
                <c:pt idx="208">
                  <c:v>176.02311705061638</c:v>
                </c:pt>
                <c:pt idx="209">
                  <c:v>173.65538672936967</c:v>
                </c:pt>
                <c:pt idx="210">
                  <c:v>171.32789096918202</c:v>
                </c:pt>
                <c:pt idx="211">
                  <c:v>169.03933973827947</c:v>
                </c:pt>
                <c:pt idx="212">
                  <c:v>166.78849759626868</c:v>
                </c:pt>
                <c:pt idx="213">
                  <c:v>164.57418082593685</c:v>
                </c:pt>
                <c:pt idx="214">
                  <c:v>162.39525474640791</c:v>
                </c:pt>
                <c:pt idx="215">
                  <c:v>160.25063119444829</c:v>
                </c:pt>
                <c:pt idx="216">
                  <c:v>158.1392661618118</c:v>
                </c:pt>
                <c:pt idx="217">
                  <c:v>156.06015757750887</c:v>
                </c:pt>
                <c:pt idx="218">
                  <c:v>154.01234322479041</c:v>
                </c:pt>
                <c:pt idx="219">
                  <c:v>151.99489878345855</c:v>
                </c:pt>
                <c:pt idx="220">
                  <c:v>150.00693598886679</c:v>
                </c:pt>
                <c:pt idx="221">
                  <c:v>148.04760089965384</c:v>
                </c:pt>
                <c:pt idx="222">
                  <c:v>146.11607226687931</c:v>
                </c:pt>
                <c:pt idx="223">
                  <c:v>144.21155999779887</c:v>
                </c:pt>
                <c:pt idx="224">
                  <c:v>142.33330370803534</c:v>
                </c:pt>
                <c:pt idx="225">
                  <c:v>140.48057135638058</c:v>
                </c:pt>
                <c:pt idx="226">
                  <c:v>138.65265795689695</c:v>
                </c:pt>
                <c:pt idx="227">
                  <c:v>136.8488843633894</c:v>
                </c:pt>
                <c:pt idx="228">
                  <c:v>135.06859612168492</c:v>
                </c:pt>
                <c:pt idx="229">
                  <c:v>133.31116238549382</c:v>
                </c:pt>
                <c:pt idx="230">
                  <c:v>131.57597489193839</c:v>
                </c:pt>
                <c:pt idx="231">
                  <c:v>129.86244699311905</c:v>
                </c:pt>
                <c:pt idx="232">
                  <c:v>128.17001274035252</c:v>
                </c:pt>
                <c:pt idx="233">
                  <c:v>126.49812601795863</c:v>
                </c:pt>
                <c:pt idx="234">
                  <c:v>124.84625972369723</c:v>
                </c:pt>
                <c:pt idx="235">
                  <c:v>123.21390499316419</c:v>
                </c:pt>
                <c:pt idx="236">
                  <c:v>121.6005704656471</c:v>
                </c:pt>
                <c:pt idx="237">
                  <c:v>120.00578158911975</c:v>
                </c:pt>
                <c:pt idx="238">
                  <c:v>118.4290799622196</c:v>
                </c:pt>
                <c:pt idx="239">
                  <c:v>116.87002271120545</c:v>
                </c:pt>
                <c:pt idx="240">
                  <c:v>115.32818190003624</c:v>
                </c:pt>
                <c:pt idx="241">
                  <c:v>113.80314397184436</c:v>
                </c:pt>
                <c:pt idx="242">
                  <c:v>112.29450922020156</c:v>
                </c:pt>
                <c:pt idx="243">
                  <c:v>110.80189128869145</c:v>
                </c:pt>
                <c:pt idx="244">
                  <c:v>109.32491669741226</c:v>
                </c:pt>
                <c:pt idx="245">
                  <c:v>107.86322439513478</c:v>
                </c:pt>
                <c:pt idx="246">
                  <c:v>106.4164653359379</c:v>
                </c:pt>
                <c:pt idx="247">
                  <c:v>104.98430207923414</c:v>
                </c:pt>
                <c:pt idx="248">
                  <c:v>103.56640841218396</c:v>
                </c:pt>
                <c:pt idx="249">
                  <c:v>102.16246899357954</c:v>
                </c:pt>
                <c:pt idx="250">
                  <c:v>100.77217901835566</c:v>
                </c:pt>
                <c:pt idx="251">
                  <c:v>99.395243901960782</c:v>
                </c:pt>
                <c:pt idx="252">
                  <c:v>98.031378983891457</c:v>
                </c:pt>
                <c:pt idx="253">
                  <c:v>96.680309249762956</c:v>
                </c:pt>
                <c:pt idx="254">
                  <c:v>95.341769071354832</c:v>
                </c:pt>
                <c:pt idx="255">
                  <c:v>94.015501964135225</c:v>
                </c:pt>
                <c:pt idx="256">
                  <c:v>92.701260361830492</c:v>
                </c:pt>
                <c:pt idx="257">
                  <c:v>91.398805407669542</c:v>
                </c:pt>
                <c:pt idx="258">
                  <c:v>90.107906761993092</c:v>
                </c:pt>
                <c:pt idx="259">
                  <c:v>88.828342425979457</c:v>
                </c:pt>
                <c:pt idx="260">
                  <c:v>87.559898581299876</c:v>
                </c:pt>
                <c:pt idx="261">
                  <c:v>86.302369445577241</c:v>
                </c:pt>
                <c:pt idx="262">
                  <c:v>85.055557143585105</c:v>
                </c:pt>
                <c:pt idx="263">
                  <c:v>83.819271594187001</c:v>
                </c:pt>
                <c:pt idx="264">
                  <c:v>82.593330413081048</c:v>
                </c:pt>
                <c:pt idx="265">
                  <c:v>81.377558831482233</c:v>
                </c:pt>
                <c:pt idx="266">
                  <c:v>80.171789630943877</c:v>
                </c:pt>
                <c:pt idx="267">
                  <c:v>78.975863094592398</c:v>
                </c:pt>
                <c:pt idx="268">
                  <c:v>77.789626975125088</c:v>
                </c:pt>
                <c:pt idx="269">
                  <c:v>76.61293648000057</c:v>
                </c:pt>
                <c:pt idx="270">
                  <c:v>75.445654274335169</c:v>
                </c:pt>
                <c:pt idx="271">
                  <c:v>74.287650502107979</c:v>
                </c:pt>
                <c:pt idx="272">
                  <c:v>73.13880282637183</c:v>
                </c:pt>
                <c:pt idx="273">
                  <c:v>71.99899648926835</c:v>
                </c:pt>
                <c:pt idx="274">
                  <c:v>70.868124392753074</c:v>
                </c:pt>
                <c:pt idx="275">
                  <c:v>69.746087201052134</c:v>
                </c:pt>
                <c:pt idx="276">
                  <c:v>68.632793465995306</c:v>
                </c:pt>
                <c:pt idx="277">
                  <c:v>67.528159776503855</c:v>
                </c:pt>
                <c:pt idx="278">
                  <c:v>66.432110933653448</c:v>
                </c:pt>
                <c:pt idx="279">
                  <c:v>65.344580152885925</c:v>
                </c:pt>
                <c:pt idx="280">
                  <c:v>64.265509295108856</c:v>
                </c:pt>
                <c:pt idx="281">
                  <c:v>63.194849128597674</c:v>
                </c:pt>
                <c:pt idx="282">
                  <c:v>62.132559623805314</c:v>
                </c:pt>
                <c:pt idx="283">
                  <c:v>61.078610283387029</c:v>
                </c:pt>
                <c:pt idx="284">
                  <c:v>60.032980509964219</c:v>
                </c:pt>
                <c:pt idx="285">
                  <c:v>58.995660014382111</c:v>
                </c:pt>
                <c:pt idx="286">
                  <c:v>57.966649267460035</c:v>
                </c:pt>
                <c:pt idx="287">
                  <c:v>56.945959998491034</c:v>
                </c:pt>
                <c:pt idx="288">
                  <c:v>55.933615744017033</c:v>
                </c:pt>
                <c:pt idx="289">
                  <c:v>54.92965245068671</c:v>
                </c:pt>
                <c:pt idx="290">
                  <c:v>53.934119136290938</c:v>
                </c:pt>
                <c:pt idx="291">
                  <c:v>52.947078613363217</c:v>
                </c:pt>
                <c:pt idx="292">
                  <c:v>51.968608280022806</c:v>
                </c:pt>
                <c:pt idx="293">
                  <c:v>50.99880098302004</c:v>
                </c:pt>
                <c:pt idx="294">
                  <c:v>50.037765958206357</c:v>
                </c:pt>
                <c:pt idx="295">
                  <c:v>49.085629853882324</c:v>
                </c:pt>
                <c:pt idx="296">
                  <c:v>48.142537842659962</c:v>
                </c:pt>
                <c:pt idx="297">
                  <c:v>47.208654827587694</c:v>
                </c:pt>
                <c:pt idx="298">
                  <c:v>46.284166748301423</c:v>
                </c:pt>
                <c:pt idx="299">
                  <c:v>45.369281992847036</c:v>
                </c:pt>
                <c:pt idx="300">
                  <c:v>44.464232920527003</c:v>
                </c:pt>
                <c:pt idx="301">
                  <c:v>43.569277500600364</c:v>
                </c:pt>
                <c:pt idx="302">
                  <c:v>42.684701070846302</c:v>
                </c:pt>
                <c:pt idx="303">
                  <c:v>41.810818218805998</c:v>
                </c:pt>
                <c:pt idx="304">
                  <c:v>40.947974786845982</c:v>
                </c:pt>
                <c:pt idx="305">
                  <c:v>40.096549999923283</c:v>
                </c:pt>
                <c:pt idx="306">
                  <c:v>39.256958711938232</c:v>
                </c:pt>
                <c:pt idx="307">
                  <c:v>38.429653762674114</c:v>
                </c:pt>
                <c:pt idx="308">
                  <c:v>37.615128432358112</c:v>
                </c:pt>
                <c:pt idx="309">
                  <c:v>36.81391897462769</c:v>
                </c:pt>
                <c:pt idx="310">
                  <c:v>36.026607200924616</c:v>
                </c:pt>
                <c:pt idx="311">
                  <c:v>35.253823079827335</c:v>
                </c:pt>
                <c:pt idx="312">
                  <c:v>34.496247303336602</c:v>
                </c:pt>
                <c:pt idx="313">
                  <c:v>33.754613758437955</c:v>
                </c:pt>
                <c:pt idx="314">
                  <c:v>33.02971182621831</c:v>
                </c:pt>
                <c:pt idx="315">
                  <c:v>32.322388412355373</c:v>
                </c:pt>
                <c:pt idx="316">
                  <c:v>31.633549592020202</c:v>
                </c:pt>
                <c:pt idx="317">
                  <c:v>30.964161729466532</c:v>
                </c:pt>
                <c:pt idx="318">
                  <c:v>30.315251908472696</c:v>
                </c:pt>
                <c:pt idx="319">
                  <c:v>29.687907485436948</c:v>
                </c:pt>
                <c:pt idx="320">
                  <c:v>29.083274553925502</c:v>
                </c:pt>
                <c:pt idx="321">
                  <c:v>28.502555090104341</c:v>
                </c:pt>
                <c:pt idx="322">
                  <c:v>27.947002535736928</c:v>
                </c:pt>
                <c:pt idx="323">
                  <c:v>27.417915573009342</c:v>
                </c:pt>
                <c:pt idx="324">
                  <c:v>26.916629857679485</c:v>
                </c:pt>
                <c:pt idx="325">
                  <c:v>26.444507508614613</c:v>
                </c:pt>
                <c:pt idx="326">
                  <c:v>26.002924207234329</c:v>
                </c:pt>
                <c:pt idx="327">
                  <c:v>25.593253843425952</c:v>
                </c:pt>
                <c:pt idx="328">
                  <c:v>25.216850757076216</c:v>
                </c:pt>
                <c:pt idx="329">
                  <c:v>24.875029765522033</c:v>
                </c:pt>
                <c:pt idx="330">
                  <c:v>24.569044332063381</c:v>
                </c:pt>
                <c:pt idx="331">
                  <c:v>24.300063409535699</c:v>
                </c:pt>
                <c:pt idx="332">
                  <c:v>24.06914767115304</c:v>
                </c:pt>
                <c:pt idx="333">
                  <c:v>23.877225999455327</c:v>
                </c:pt>
                <c:pt idx="334">
                  <c:v>23.725073221795739</c:v>
                </c:pt>
                <c:pt idx="335">
                  <c:v>23.613290136414275</c:v>
                </c:pt>
                <c:pt idx="336">
                  <c:v>23.542286849940808</c:v>
                </c:pt>
                <c:pt idx="337">
                  <c:v>23.512270336269875</c:v>
                </c:pt>
                <c:pt idx="338">
                  <c:v>23.523236930142779</c:v>
                </c:pt>
                <c:pt idx="339">
                  <c:v>23.574970200539269</c:v>
                </c:pt>
                <c:pt idx="340">
                  <c:v>23.66704433416033</c:v>
                </c:pt>
                <c:pt idx="341">
                  <c:v>23.798832830412348</c:v>
                </c:pt>
                <c:pt idx="342">
                  <c:v>23.969522001244293</c:v>
                </c:pt>
                <c:pt idx="343">
                  <c:v>24.178128513424973</c:v>
                </c:pt>
                <c:pt idx="344">
                  <c:v>24.42352003054236</c:v>
                </c:pt>
                <c:pt idx="345">
                  <c:v>24.704437918945906</c:v>
                </c:pt>
                <c:pt idx="346">
                  <c:v>25.019520975769826</c:v>
                </c:pt>
                <c:pt idx="347">
                  <c:v>25.36732920734261</c:v>
                </c:pt>
                <c:pt idx="348">
                  <c:v>25.746366814703492</c:v>
                </c:pt>
                <c:pt idx="349">
                  <c:v>26.155103708177283</c:v>
                </c:pt>
                <c:pt idx="350">
                  <c:v>26.591995053756442</c:v>
                </c:pt>
                <c:pt idx="351">
                  <c:v>27.05549853208943</c:v>
                </c:pt>
                <c:pt idx="352">
                  <c:v>27.544089152405977</c:v>
                </c:pt>
                <c:pt idx="353">
                  <c:v>28.056271599991707</c:v>
                </c:pt>
                <c:pt idx="354">
                  <c:v>28.59059020280413</c:v>
                </c:pt>
                <c:pt idx="355">
                  <c:v>29.145636680229302</c:v>
                </c:pt>
                <c:pt idx="356">
                  <c:v>29.720055887218393</c:v>
                </c:pt>
                <c:pt idx="357">
                  <c:v>30.31254979411219</c:v>
                </c:pt>
                <c:pt idx="358">
                  <c:v>30.92187995103567</c:v>
                </c:pt>
                <c:pt idx="359">
                  <c:v>31.546868680511057</c:v>
                </c:pt>
                <c:pt idx="360">
                  <c:v>32.18639922715434</c:v>
                </c:pt>
                <c:pt idx="361">
                  <c:v>32.839415072587244</c:v>
                </c:pt>
                <c:pt idx="362">
                  <c:v>33.504918599874877</c:v>
                </c:pt>
                <c:pt idx="363">
                  <c:v>34.181969267034127</c:v>
                </c:pt>
                <c:pt idx="364">
                  <c:v>34.8696814249599</c:v>
                </c:pt>
                <c:pt idx="365">
                  <c:v>35.567221892472915</c:v>
                </c:pt>
                <c:pt idx="366">
                  <c:v>36.273807380678228</c:v>
                </c:pt>
                <c:pt idx="367">
                  <c:v>36.988701840707897</c:v>
                </c:pt>
                <c:pt idx="368">
                  <c:v>37.711213793256661</c:v>
                </c:pt>
                <c:pt idx="369">
                  <c:v>38.44069368501642</c:v>
                </c:pt>
                <c:pt idx="370">
                  <c:v>39.176531305995304</c:v>
                </c:pt>
                <c:pt idx="371">
                  <c:v>39.918153292546378</c:v>
                </c:pt>
                <c:pt idx="372">
                  <c:v>40.665020733486877</c:v>
                </c:pt>
                <c:pt idx="373">
                  <c:v>41.416626890722128</c:v>
                </c:pt>
                <c:pt idx="374">
                  <c:v>42.172495041071421</c:v>
                </c:pt>
                <c:pt idx="375">
                  <c:v>42.932176442320262</c:v>
                </c:pt>
                <c:pt idx="376">
                  <c:v>43.695248423712236</c:v>
                </c:pt>
                <c:pt idx="377">
                  <c:v>44.46131259898489</c:v>
                </c:pt>
                <c:pt idx="378">
                  <c:v>45.229993198512751</c:v>
                </c:pt>
                <c:pt idx="379">
                  <c:v>46.000935516032278</c:v>
                </c:pt>
                <c:pt idx="380">
                  <c:v>46.773804464693164</c:v>
                </c:pt>
                <c:pt idx="381">
                  <c:v>47.548283236730626</c:v>
                </c:pt>
                <c:pt idx="382">
                  <c:v>48.324072060818359</c:v>
                </c:pt>
                <c:pt idx="383">
                  <c:v>49.100887051091938</c:v>
                </c:pt>
                <c:pt idx="384">
                  <c:v>49.878459141884896</c:v>
                </c:pt>
                <c:pt idx="385">
                  <c:v>50.656533102361422</c:v>
                </c:pt>
                <c:pt idx="386">
                  <c:v>51.434866625435127</c:v>
                </c:pt>
                <c:pt idx="387">
                  <c:v>52.213229485611656</c:v>
                </c:pt>
                <c:pt idx="388">
                  <c:v>52.991402760668016</c:v>
                </c:pt>
                <c:pt idx="389">
                  <c:v>53.769178112372153</c:v>
                </c:pt>
                <c:pt idx="390">
                  <c:v>54.546357121741764</c:v>
                </c:pt>
                <c:pt idx="391">
                  <c:v>55.322750674636772</c:v>
                </c:pt>
                <c:pt idx="392">
                  <c:v>56.098178393767981</c:v>
                </c:pt>
                <c:pt idx="393">
                  <c:v>56.872468113483947</c:v>
                </c:pt>
                <c:pt idx="394">
                  <c:v>57.645455393964774</c:v>
                </c:pt>
                <c:pt idx="395">
                  <c:v>58.416983071704905</c:v>
                </c:pt>
                <c:pt idx="396">
                  <c:v>59.186900843406022</c:v>
                </c:pt>
                <c:pt idx="397">
                  <c:v>59.955064880624903</c:v>
                </c:pt>
                <c:pt idx="398">
                  <c:v>60.721337472730617</c:v>
                </c:pt>
                <c:pt idx="399">
                  <c:v>61.485586695919764</c:v>
                </c:pt>
                <c:pt idx="400">
                  <c:v>62.247686106219206</c:v>
                </c:pt>
                <c:pt idx="401">
                  <c:v>63.007514454572899</c:v>
                </c:pt>
                <c:pt idx="402">
                  <c:v>63.76495542226354</c:v>
                </c:pt>
                <c:pt idx="403">
                  <c:v>64.519897375062101</c:v>
                </c:pt>
                <c:pt idx="404">
                  <c:v>65.272233134629531</c:v>
                </c:pt>
                <c:pt idx="405">
                  <c:v>66.021859765814781</c:v>
                </c:pt>
                <c:pt idx="406">
                  <c:v>66.768678378604591</c:v>
                </c:pt>
                <c:pt idx="407">
                  <c:v>67.512593943581564</c:v>
                </c:pt>
                <c:pt idx="408">
                  <c:v>68.253515119840614</c:v>
                </c:pt>
                <c:pt idx="409">
                  <c:v>68.991354094398773</c:v>
                </c:pt>
                <c:pt idx="410">
                  <c:v>69.726026432212635</c:v>
                </c:pt>
                <c:pt idx="411">
                  <c:v>70.457450935988234</c:v>
                </c:pt>
                <c:pt idx="412">
                  <c:v>71.185549515035234</c:v>
                </c:pt>
                <c:pt idx="413">
                  <c:v>71.910247062476628</c:v>
                </c:pt>
                <c:pt idx="414">
                  <c:v>72.631471340180994</c:v>
                </c:pt>
                <c:pt idx="415">
                  <c:v>73.349152870834558</c:v>
                </c:pt>
                <c:pt idx="416">
                  <c:v>74.063224836617096</c:v>
                </c:pt>
                <c:pt idx="417">
                  <c:v>74.773622983987991</c:v>
                </c:pt>
                <c:pt idx="418">
                  <c:v>75.48028553412783</c:v>
                </c:pt>
                <c:pt idx="419">
                  <c:v>76.183153098616643</c:v>
                </c:pt>
                <c:pt idx="420">
                  <c:v>76.882168599963038</c:v>
                </c:pt>
                <c:pt idx="421">
                  <c:v>77.57727719662789</c:v>
                </c:pt>
                <c:pt idx="422">
                  <c:v>78.268426212214848</c:v>
                </c:pt>
                <c:pt idx="423">
                  <c:v>78.955565068524237</c:v>
                </c:pt>
                <c:pt idx="424">
                  <c:v>79.638645222191329</c:v>
                </c:pt>
                <c:pt idx="425">
                  <c:v>80.317620104650572</c:v>
                </c:pt>
                <c:pt idx="426">
                  <c:v>80.992445065187411</c:v>
                </c:pt>
                <c:pt idx="427">
                  <c:v>81.663077316857567</c:v>
                </c:pt>
                <c:pt idx="428">
                  <c:v>82.329475885070039</c:v>
                </c:pt>
                <c:pt idx="429">
                  <c:v>82.991601558645826</c:v>
                </c:pt>
                <c:pt idx="430">
                  <c:v>83.649416843177931</c:v>
                </c:pt>
                <c:pt idx="431">
                  <c:v>84.302885916531977</c:v>
                </c:pt>
                <c:pt idx="432">
                  <c:v>84.951974586338295</c:v>
                </c:pt>
                <c:pt idx="433">
                  <c:v>85.596650249337358</c:v>
                </c:pt>
                <c:pt idx="434">
                  <c:v>86.236881852451134</c:v>
                </c:pt>
                <c:pt idx="435">
                  <c:v>86.87263985546187</c:v>
                </c:pt>
                <c:pt idx="436">
                  <c:v>87.503896195188801</c:v>
                </c:pt>
                <c:pt idx="437">
                  <c:v>88.130624251061434</c:v>
                </c:pt>
                <c:pt idx="438">
                  <c:v>88.752798811994978</c:v>
                </c:pt>
                <c:pt idx="439">
                  <c:v>89.370396044481225</c:v>
                </c:pt>
                <c:pt idx="440">
                  <c:v>89.983393461813648</c:v>
                </c:pt>
                <c:pt idx="441">
                  <c:v>90.591769894372007</c:v>
                </c:pt>
                <c:pt idx="442">
                  <c:v>91.195505460896996</c:v>
                </c:pt>
                <c:pt idx="443">
                  <c:v>91.794581540690487</c:v>
                </c:pt>
                <c:pt idx="444">
                  <c:v>92.388980746681568</c:v>
                </c:pt>
                <c:pt idx="445">
                  <c:v>92.978686899303241</c:v>
                </c:pt>
                <c:pt idx="446">
                  <c:v>93.563685001128036</c:v>
                </c:pt>
                <c:pt idx="447">
                  <c:v>94.143961212215316</c:v>
                </c:pt>
                <c:pt idx="448">
                  <c:v>94.719502826125719</c:v>
                </c:pt>
                <c:pt idx="449">
                  <c:v>95.290298246562145</c:v>
                </c:pt>
                <c:pt idx="450">
                  <c:v>95.856336964598995</c:v>
                </c:pt>
                <c:pt idx="451">
                  <c:v>96.417609536464724</c:v>
                </c:pt>
                <c:pt idx="452">
                  <c:v>96.974107561844875</c:v>
                </c:pt>
                <c:pt idx="453">
                  <c:v>97.525823662675435</c:v>
                </c:pt>
                <c:pt idx="454">
                  <c:v>98.072751462398628</c:v>
                </c:pt>
                <c:pt idx="455">
                  <c:v>98.614885565654959</c:v>
                </c:pt>
                <c:pt idx="456">
                  <c:v>99.152221538387508</c:v>
                </c:pt>
                <c:pt idx="457">
                  <c:v>99.68475588833644</c:v>
                </c:pt>
                <c:pt idx="458">
                  <c:v>100.21248604590298</c:v>
                </c:pt>
                <c:pt idx="459">
                  <c:v>100.7354103453637</c:v>
                </c:pt>
                <c:pt idx="460">
                  <c:v>101.25352800641778</c:v>
                </c:pt>
                <c:pt idx="461">
                  <c:v>101.76683911605062</c:v>
                </c:pt>
                <c:pt idx="462">
                  <c:v>102.27534461069914</c:v>
                </c:pt>
                <c:pt idx="463">
                  <c:v>102.7790462587045</c:v>
                </c:pt>
                <c:pt idx="464">
                  <c:v>103.27794664303975</c:v>
                </c:pt>
                <c:pt idx="465">
                  <c:v>103.77204914430038</c:v>
                </c:pt>
                <c:pt idx="466">
                  <c:v>104.26135792394693</c:v>
                </c:pt>
                <c:pt idx="467">
                  <c:v>104.74587790778966</c:v>
                </c:pt>
                <c:pt idx="468">
                  <c:v>105.22561476970608</c:v>
                </c:pt>
                <c:pt idx="469">
                  <c:v>105.70057491558275</c:v>
                </c:pt>
                <c:pt idx="470">
                  <c:v>106.17076546747353</c:v>
                </c:pt>
                <c:pt idx="471">
                  <c:v>106.63619424796751</c:v>
                </c:pt>
                <c:pt idx="472">
                  <c:v>107.09686976475933</c:v>
                </c:pt>
                <c:pt idx="473">
                  <c:v>107.55280119541658</c:v>
                </c:pt>
                <c:pt idx="474">
                  <c:v>108.0039983723385</c:v>
                </c:pt>
                <c:pt idx="475">
                  <c:v>108.45047176790081</c:v>
                </c:pt>
                <c:pt idx="476">
                  <c:v>108.89223247978241</c:v>
                </c:pt>
                <c:pt idx="477">
                  <c:v>109.32929221646943</c:v>
                </c:pt>
                <c:pt idx="478">
                  <c:v>109.7616632829331</c:v>
                </c:pt>
                <c:pt idx="479">
                  <c:v>110.18935856647794</c:v>
                </c:pt>
                <c:pt idx="480">
                  <c:v>110.61239152275679</c:v>
                </c:pt>
                <c:pt idx="481">
                  <c:v>111.03077616195057</c:v>
                </c:pt>
                <c:pt idx="482">
                  <c:v>111.44452703510922</c:v>
                </c:pt>
                <c:pt idx="483">
                  <c:v>111.85365922065245</c:v>
                </c:pt>
                <c:pt idx="484">
                  <c:v>112.25818831102754</c:v>
                </c:pt>
                <c:pt idx="485">
                  <c:v>112.65813039952265</c:v>
                </c:pt>
                <c:pt idx="486">
                  <c:v>113.05350206723375</c:v>
                </c:pt>
                <c:pt idx="487">
                  <c:v>113.44432037018393</c:v>
                </c:pt>
                <c:pt idx="488">
                  <c:v>113.83060282659331</c:v>
                </c:pt>
                <c:pt idx="489">
                  <c:v>114.21236740429875</c:v>
                </c:pt>
                <c:pt idx="490">
                  <c:v>114.58963250832208</c:v>
                </c:pt>
                <c:pt idx="491">
                  <c:v>114.9624169685859</c:v>
                </c:pt>
                <c:pt idx="492">
                  <c:v>115.3307400277761</c:v>
                </c:pt>
                <c:pt idx="493">
                  <c:v>115.69462132935038</c:v>
                </c:pt>
                <c:pt idx="494">
                  <c:v>116.05408090569215</c:v>
                </c:pt>
                <c:pt idx="495">
                  <c:v>116.40913916640899</c:v>
                </c:pt>
                <c:pt idx="496">
                  <c:v>116.75981688677534</c:v>
                </c:pt>
                <c:pt idx="497">
                  <c:v>117.10613519631907</c:v>
                </c:pt>
                <c:pt idx="498">
                  <c:v>117.44811556755106</c:v>
                </c:pt>
                <c:pt idx="499">
                  <c:v>117.7857798048379</c:v>
                </c:pt>
                <c:pt idx="500">
                  <c:v>118.1191500334171</c:v>
                </c:pt>
                <c:pt idx="501">
                  <c:v>118.44824868855447</c:v>
                </c:pt>
                <c:pt idx="502">
                  <c:v>118.77309850484374</c:v>
                </c:pt>
                <c:pt idx="503">
                  <c:v>119.09372250564758</c:v>
                </c:pt>
                <c:pt idx="504">
                  <c:v>119.41014399268029</c:v>
                </c:pt>
                <c:pt idx="505">
                  <c:v>119.7223865357317</c:v>
                </c:pt>
                <c:pt idx="506">
                  <c:v>120.030473962532</c:v>
                </c:pt>
                <c:pt idx="507">
                  <c:v>120.33443034875741</c:v>
                </c:pt>
                <c:pt idx="508">
                  <c:v>120.63428000817629</c:v>
                </c:pt>
                <c:pt idx="509">
                  <c:v>120.93004748293568</c:v>
                </c:pt>
                <c:pt idx="510">
                  <c:v>121.22175753398778</c:v>
                </c:pt>
                <c:pt idx="511">
                  <c:v>121.50943513165628</c:v>
                </c:pt>
                <c:pt idx="512">
                  <c:v>121.79310544634221</c:v>
                </c:pt>
                <c:pt idx="513">
                  <c:v>122.07279383936907</c:v>
                </c:pt>
                <c:pt idx="514">
                  <c:v>122.34852585396688</c:v>
                </c:pt>
                <c:pt idx="515">
                  <c:v>122.62032720639488</c:v>
                </c:pt>
                <c:pt idx="516">
                  <c:v>122.88822377720257</c:v>
                </c:pt>
                <c:pt idx="517">
                  <c:v>123.15224160262862</c:v>
                </c:pt>
                <c:pt idx="518">
                  <c:v>123.41240686613732</c:v>
                </c:pt>
                <c:pt idx="519">
                  <c:v>123.66874589009234</c:v>
                </c:pt>
                <c:pt idx="520">
                  <c:v>123.66899838915037</c:v>
                </c:pt>
                <c:pt idx="521">
                  <c:v>123.66925088444499</c:v>
                </c:pt>
                <c:pt idx="522">
                  <c:v>123.66950337597622</c:v>
                </c:pt>
                <c:pt idx="523">
                  <c:v>123.66975586374411</c:v>
                </c:pt>
                <c:pt idx="524">
                  <c:v>123.67000834774869</c:v>
                </c:pt>
                <c:pt idx="525">
                  <c:v>123.67026082798996</c:v>
                </c:pt>
                <c:pt idx="526">
                  <c:v>123.67051330446796</c:v>
                </c:pt>
                <c:pt idx="527">
                  <c:v>123.67076577718271</c:v>
                </c:pt>
                <c:pt idx="528">
                  <c:v>123.67101824613425</c:v>
                </c:pt>
                <c:pt idx="529">
                  <c:v>123.67127071132261</c:v>
                </c:pt>
                <c:pt idx="530">
                  <c:v>123.67152317274778</c:v>
                </c:pt>
                <c:pt idx="531">
                  <c:v>123.67177563040981</c:v>
                </c:pt>
                <c:pt idx="532">
                  <c:v>123.67202808430874</c:v>
                </c:pt>
                <c:pt idx="533">
                  <c:v>123.67228053444458</c:v>
                </c:pt>
                <c:pt idx="534">
                  <c:v>123.67253298081735</c:v>
                </c:pt>
                <c:pt idx="535">
                  <c:v>123.67278542342709</c:v>
                </c:pt>
                <c:pt idx="536">
                  <c:v>123.67303786227382</c:v>
                </c:pt>
                <c:pt idx="537">
                  <c:v>123.67329029735757</c:v>
                </c:pt>
                <c:pt idx="538">
                  <c:v>123.67354272867836</c:v>
                </c:pt>
                <c:pt idx="539">
                  <c:v>123.67379515623622</c:v>
                </c:pt>
                <c:pt idx="540">
                  <c:v>123.67404758003119</c:v>
                </c:pt>
                <c:pt idx="541">
                  <c:v>123.67430000006327</c:v>
                </c:pt>
                <c:pt idx="542">
                  <c:v>123.67455241633252</c:v>
                </c:pt>
                <c:pt idx="543">
                  <c:v>123.67480482883892</c:v>
                </c:pt>
                <c:pt idx="544">
                  <c:v>123.67505723758254</c:v>
                </c:pt>
                <c:pt idx="545">
                  <c:v>123.67530964256336</c:v>
                </c:pt>
                <c:pt idx="546">
                  <c:v>123.67556204378145</c:v>
                </c:pt>
                <c:pt idx="547">
                  <c:v>123.67581444123684</c:v>
                </c:pt>
                <c:pt idx="548">
                  <c:v>123.67606683492951</c:v>
                </c:pt>
                <c:pt idx="549">
                  <c:v>123.67631922485953</c:v>
                </c:pt>
                <c:pt idx="550">
                  <c:v>123.67657161102692</c:v>
                </c:pt>
                <c:pt idx="551">
                  <c:v>123.67682399343168</c:v>
                </c:pt>
                <c:pt idx="552">
                  <c:v>123.67707637207386</c:v>
                </c:pt>
                <c:pt idx="553">
                  <c:v>123.67732874695346</c:v>
                </c:pt>
                <c:pt idx="554">
                  <c:v>123.67758111807053</c:v>
                </c:pt>
                <c:pt idx="555">
                  <c:v>123.67783348542511</c:v>
                </c:pt>
                <c:pt idx="556">
                  <c:v>123.67808584901721</c:v>
                </c:pt>
                <c:pt idx="557">
                  <c:v>123.67833820884684</c:v>
                </c:pt>
                <c:pt idx="558">
                  <c:v>123.67859056491405</c:v>
                </c:pt>
                <c:pt idx="559">
                  <c:v>123.67884291721884</c:v>
                </c:pt>
                <c:pt idx="560">
                  <c:v>123.67909526576126</c:v>
                </c:pt>
                <c:pt idx="561">
                  <c:v>123.67934761054133</c:v>
                </c:pt>
                <c:pt idx="562">
                  <c:v>123.67959995155908</c:v>
                </c:pt>
                <c:pt idx="563">
                  <c:v>123.67985228881453</c:v>
                </c:pt>
                <c:pt idx="564">
                  <c:v>123.68010462230771</c:v>
                </c:pt>
                <c:pt idx="565">
                  <c:v>123.68035695203864</c:v>
                </c:pt>
                <c:pt idx="566">
                  <c:v>123.68060927800735</c:v>
                </c:pt>
                <c:pt idx="567">
                  <c:v>123.68086160021387</c:v>
                </c:pt>
                <c:pt idx="568">
                  <c:v>123.68111391865821</c:v>
                </c:pt>
                <c:pt idx="569">
                  <c:v>123.68136623334044</c:v>
                </c:pt>
                <c:pt idx="570">
                  <c:v>123.68161854426053</c:v>
                </c:pt>
                <c:pt idx="571">
                  <c:v>123.68187085141852</c:v>
                </c:pt>
                <c:pt idx="572">
                  <c:v>123.68212315481448</c:v>
                </c:pt>
                <c:pt idx="573">
                  <c:v>123.68237545444839</c:v>
                </c:pt>
                <c:pt idx="574">
                  <c:v>123.68262775032029</c:v>
                </c:pt>
                <c:pt idx="575">
                  <c:v>123.68288004243023</c:v>
                </c:pt>
                <c:pt idx="576">
                  <c:v>123.68313233077818</c:v>
                </c:pt>
                <c:pt idx="577">
                  <c:v>123.68338461536422</c:v>
                </c:pt>
                <c:pt idx="578">
                  <c:v>123.68363689618835</c:v>
                </c:pt>
                <c:pt idx="579">
                  <c:v>123.68388917325061</c:v>
                </c:pt>
                <c:pt idx="580">
                  <c:v>123.68414144655101</c:v>
                </c:pt>
                <c:pt idx="581">
                  <c:v>123.6843937160896</c:v>
                </c:pt>
                <c:pt idx="582">
                  <c:v>123.68464598186638</c:v>
                </c:pt>
                <c:pt idx="583">
                  <c:v>123.68489824388138</c:v>
                </c:pt>
                <c:pt idx="584">
                  <c:v>123.68515050213465</c:v>
                </c:pt>
                <c:pt idx="585">
                  <c:v>123.68540275662619</c:v>
                </c:pt>
                <c:pt idx="586">
                  <c:v>123.68565500735605</c:v>
                </c:pt>
                <c:pt idx="587">
                  <c:v>123.68590725432423</c:v>
                </c:pt>
                <c:pt idx="588">
                  <c:v>123.68615949753077</c:v>
                </c:pt>
                <c:pt idx="589">
                  <c:v>123.68641173697571</c:v>
                </c:pt>
                <c:pt idx="590">
                  <c:v>123.68666397265905</c:v>
                </c:pt>
                <c:pt idx="591">
                  <c:v>123.68691620458083</c:v>
                </c:pt>
                <c:pt idx="592">
                  <c:v>123.68716843274107</c:v>
                </c:pt>
                <c:pt idx="593">
                  <c:v>123.68742065713981</c:v>
                </c:pt>
                <c:pt idx="594">
                  <c:v>123.68767287777708</c:v>
                </c:pt>
                <c:pt idx="595">
                  <c:v>123.68792509465288</c:v>
                </c:pt>
                <c:pt idx="596">
                  <c:v>123.68817730776726</c:v>
                </c:pt>
                <c:pt idx="597">
                  <c:v>123.68842951712023</c:v>
                </c:pt>
                <c:pt idx="598">
                  <c:v>123.68868172271182</c:v>
                </c:pt>
                <c:pt idx="599">
                  <c:v>123.68893392454206</c:v>
                </c:pt>
                <c:pt idx="600">
                  <c:v>123.68918612261098</c:v>
                </c:pt>
                <c:pt idx="601">
                  <c:v>123.6894383169186</c:v>
                </c:pt>
                <c:pt idx="602">
                  <c:v>123.68969050746493</c:v>
                </c:pt>
                <c:pt idx="603">
                  <c:v>123.68994269425004</c:v>
                </c:pt>
                <c:pt idx="604">
                  <c:v>123.69019487727391</c:v>
                </c:pt>
                <c:pt idx="605">
                  <c:v>123.6904470565366</c:v>
                </c:pt>
                <c:pt idx="606">
                  <c:v>123.69069923203813</c:v>
                </c:pt>
                <c:pt idx="607">
                  <c:v>123.69095140377851</c:v>
                </c:pt>
                <c:pt idx="608">
                  <c:v>123.69120357175777</c:v>
                </c:pt>
                <c:pt idx="609">
                  <c:v>123.69145573597595</c:v>
                </c:pt>
                <c:pt idx="610">
                  <c:v>123.69170789643307</c:v>
                </c:pt>
                <c:pt idx="611">
                  <c:v>123.69196005312915</c:v>
                </c:pt>
                <c:pt idx="612">
                  <c:v>123.69221220606423</c:v>
                </c:pt>
                <c:pt idx="613">
                  <c:v>123.6924643552383</c:v>
                </c:pt>
                <c:pt idx="614">
                  <c:v>123.69271650065144</c:v>
                </c:pt>
                <c:pt idx="615">
                  <c:v>123.69296864230365</c:v>
                </c:pt>
                <c:pt idx="616">
                  <c:v>123.69322078019496</c:v>
                </c:pt>
                <c:pt idx="617">
                  <c:v>123.69347291432538</c:v>
                </c:pt>
                <c:pt idx="618">
                  <c:v>123.69372504469496</c:v>
                </c:pt>
                <c:pt idx="619">
                  <c:v>123.6939771713037</c:v>
                </c:pt>
                <c:pt idx="620">
                  <c:v>123.69422929415165</c:v>
                </c:pt>
                <c:pt idx="621">
                  <c:v>123.69448141323882</c:v>
                </c:pt>
                <c:pt idx="622">
                  <c:v>123.69473352856527</c:v>
                </c:pt>
                <c:pt idx="623">
                  <c:v>123.69498564013098</c:v>
                </c:pt>
                <c:pt idx="624">
                  <c:v>123.69523774793599</c:v>
                </c:pt>
                <c:pt idx="625">
                  <c:v>123.69548985198035</c:v>
                </c:pt>
                <c:pt idx="626">
                  <c:v>123.69574195226407</c:v>
                </c:pt>
                <c:pt idx="627">
                  <c:v>123.69599404878717</c:v>
                </c:pt>
                <c:pt idx="628">
                  <c:v>123.69624614154968</c:v>
                </c:pt>
                <c:pt idx="629">
                  <c:v>123.69649823055163</c:v>
                </c:pt>
                <c:pt idx="630">
                  <c:v>123.69675031579304</c:v>
                </c:pt>
                <c:pt idx="631">
                  <c:v>123.69700239727393</c:v>
                </c:pt>
                <c:pt idx="632">
                  <c:v>123.69725447499435</c:v>
                </c:pt>
                <c:pt idx="633">
                  <c:v>123.69750654895432</c:v>
                </c:pt>
                <c:pt idx="634">
                  <c:v>123.69775861915384</c:v>
                </c:pt>
                <c:pt idx="635">
                  <c:v>123.69801068559299</c:v>
                </c:pt>
                <c:pt idx="636">
                  <c:v>123.69826274827173</c:v>
                </c:pt>
                <c:pt idx="637">
                  <c:v>123.69851480719014</c:v>
                </c:pt>
                <c:pt idx="638">
                  <c:v>123.69876686234822</c:v>
                </c:pt>
                <c:pt idx="639">
                  <c:v>123.699018913746</c:v>
                </c:pt>
                <c:pt idx="640">
                  <c:v>123.69927096138352</c:v>
                </c:pt>
                <c:pt idx="641">
                  <c:v>123.6995230052608</c:v>
                </c:pt>
                <c:pt idx="642">
                  <c:v>123.69977504537785</c:v>
                </c:pt>
                <c:pt idx="643">
                  <c:v>123.7000270817347</c:v>
                </c:pt>
                <c:pt idx="644">
                  <c:v>123.70027911433139</c:v>
                </c:pt>
                <c:pt idx="645">
                  <c:v>123.70053114316794</c:v>
                </c:pt>
                <c:pt idx="646">
                  <c:v>123.70078316824436</c:v>
                </c:pt>
                <c:pt idx="647">
                  <c:v>123.70103518956071</c:v>
                </c:pt>
                <c:pt idx="648">
                  <c:v>123.70128720711701</c:v>
                </c:pt>
                <c:pt idx="649">
                  <c:v>123.70153922091325</c:v>
                </c:pt>
                <c:pt idx="650">
                  <c:v>123.7017912309495</c:v>
                </c:pt>
                <c:pt idx="651">
                  <c:v>123.70204323722577</c:v>
                </c:pt>
                <c:pt idx="652">
                  <c:v>123.70229523974207</c:v>
                </c:pt>
                <c:pt idx="653">
                  <c:v>123.70254723849845</c:v>
                </c:pt>
                <c:pt idx="654">
                  <c:v>123.70279923349491</c:v>
                </c:pt>
                <c:pt idx="655">
                  <c:v>123.70305122473151</c:v>
                </c:pt>
                <c:pt idx="656">
                  <c:v>123.70330321220824</c:v>
                </c:pt>
                <c:pt idx="657">
                  <c:v>123.70355519592518</c:v>
                </c:pt>
                <c:pt idx="658">
                  <c:v>123.70380717588229</c:v>
                </c:pt>
                <c:pt idx="659">
                  <c:v>123.70405915207964</c:v>
                </c:pt>
                <c:pt idx="660">
                  <c:v>123.70431112451725</c:v>
                </c:pt>
                <c:pt idx="661">
                  <c:v>123.70456309319515</c:v>
                </c:pt>
                <c:pt idx="662">
                  <c:v>123.70481505811334</c:v>
                </c:pt>
                <c:pt idx="663">
                  <c:v>123.70506701927185</c:v>
                </c:pt>
                <c:pt idx="664">
                  <c:v>123.70531897667074</c:v>
                </c:pt>
                <c:pt idx="665">
                  <c:v>123.70557093031002</c:v>
                </c:pt>
                <c:pt idx="666">
                  <c:v>123.7058228801897</c:v>
                </c:pt>
                <c:pt idx="667">
                  <c:v>123.70607482630983</c:v>
                </c:pt>
                <c:pt idx="668">
                  <c:v>123.70632676867042</c:v>
                </c:pt>
                <c:pt idx="669">
                  <c:v>123.7065787072715</c:v>
                </c:pt>
                <c:pt idx="670">
                  <c:v>123.7068306421131</c:v>
                </c:pt>
                <c:pt idx="671">
                  <c:v>123.70708257319525</c:v>
                </c:pt>
                <c:pt idx="672">
                  <c:v>123.70733450051796</c:v>
                </c:pt>
                <c:pt idx="673">
                  <c:v>123.70758642408127</c:v>
                </c:pt>
                <c:pt idx="674">
                  <c:v>123.70783834388521</c:v>
                </c:pt>
                <c:pt idx="675">
                  <c:v>123.7080902599298</c:v>
                </c:pt>
                <c:pt idx="676">
                  <c:v>123.70834217221505</c:v>
                </c:pt>
                <c:pt idx="677">
                  <c:v>123.70859408074101</c:v>
                </c:pt>
                <c:pt idx="678">
                  <c:v>123.70884598550769</c:v>
                </c:pt>
                <c:pt idx="679">
                  <c:v>123.70909788651514</c:v>
                </c:pt>
                <c:pt idx="680">
                  <c:v>123.70934978376337</c:v>
                </c:pt>
                <c:pt idx="681">
                  <c:v>123.70960167725239</c:v>
                </c:pt>
                <c:pt idx="682">
                  <c:v>123.70985356698228</c:v>
                </c:pt>
                <c:pt idx="683">
                  <c:v>123.710105452953</c:v>
                </c:pt>
                <c:pt idx="684">
                  <c:v>123.7103573351646</c:v>
                </c:pt>
                <c:pt idx="685">
                  <c:v>123.71060921361713</c:v>
                </c:pt>
                <c:pt idx="686">
                  <c:v>123.71086108831059</c:v>
                </c:pt>
                <c:pt idx="687">
                  <c:v>123.71111295924503</c:v>
                </c:pt>
                <c:pt idx="688">
                  <c:v>123.71136482642045</c:v>
                </c:pt>
                <c:pt idx="689">
                  <c:v>123.71161668983689</c:v>
                </c:pt>
                <c:pt idx="690">
                  <c:v>123.71186854949437</c:v>
                </c:pt>
                <c:pt idx="691">
                  <c:v>123.71212040539294</c:v>
                </c:pt>
                <c:pt idx="692">
                  <c:v>123.71237225753258</c:v>
                </c:pt>
                <c:pt idx="693">
                  <c:v>123.71262410591335</c:v>
                </c:pt>
                <c:pt idx="694">
                  <c:v>123.71287595053526</c:v>
                </c:pt>
                <c:pt idx="695">
                  <c:v>123.71312779139838</c:v>
                </c:pt>
                <c:pt idx="696">
                  <c:v>123.71337962850269</c:v>
                </c:pt>
                <c:pt idx="697">
                  <c:v>123.71363146184821</c:v>
                </c:pt>
                <c:pt idx="698">
                  <c:v>123.713883291435</c:v>
                </c:pt>
                <c:pt idx="699">
                  <c:v>123.71413511726307</c:v>
                </c:pt>
                <c:pt idx="700">
                  <c:v>123.71438693933244</c:v>
                </c:pt>
                <c:pt idx="701">
                  <c:v>123.71463875764316</c:v>
                </c:pt>
                <c:pt idx="702">
                  <c:v>123.71489057219522</c:v>
                </c:pt>
                <c:pt idx="703">
                  <c:v>123.71514238298866</c:v>
                </c:pt>
                <c:pt idx="704">
                  <c:v>123.71539419002353</c:v>
                </c:pt>
                <c:pt idx="705">
                  <c:v>123.71564599329983</c:v>
                </c:pt>
                <c:pt idx="706">
                  <c:v>123.71589779281761</c:v>
                </c:pt>
                <c:pt idx="707">
                  <c:v>123.71614958857688</c:v>
                </c:pt>
                <c:pt idx="708">
                  <c:v>123.71640138057766</c:v>
                </c:pt>
                <c:pt idx="709">
                  <c:v>123.71665316882</c:v>
                </c:pt>
                <c:pt idx="710">
                  <c:v>123.7169049533039</c:v>
                </c:pt>
                <c:pt idx="711">
                  <c:v>123.71715673402939</c:v>
                </c:pt>
                <c:pt idx="712">
                  <c:v>123.71740851099651</c:v>
                </c:pt>
                <c:pt idx="713">
                  <c:v>123.71766028420528</c:v>
                </c:pt>
                <c:pt idx="714">
                  <c:v>123.71791205365572</c:v>
                </c:pt>
                <c:pt idx="715">
                  <c:v>123.71816381934786</c:v>
                </c:pt>
                <c:pt idx="716">
                  <c:v>123.71841558128176</c:v>
                </c:pt>
                <c:pt idx="717">
                  <c:v>123.71866733945738</c:v>
                </c:pt>
                <c:pt idx="718">
                  <c:v>123.71891909387479</c:v>
                </c:pt>
                <c:pt idx="719">
                  <c:v>123.71917084453402</c:v>
                </c:pt>
                <c:pt idx="720">
                  <c:v>123.71942259143506</c:v>
                </c:pt>
                <c:pt idx="721">
                  <c:v>123.71967433457797</c:v>
                </c:pt>
                <c:pt idx="722">
                  <c:v>123.7199260739628</c:v>
                </c:pt>
                <c:pt idx="723">
                  <c:v>123.7201778095895</c:v>
                </c:pt>
                <c:pt idx="724">
                  <c:v>123.72042954145816</c:v>
                </c:pt>
                <c:pt idx="725">
                  <c:v>123.72068126956877</c:v>
                </c:pt>
                <c:pt idx="726">
                  <c:v>123.72093299392139</c:v>
                </c:pt>
                <c:pt idx="727">
                  <c:v>123.72118471451601</c:v>
                </c:pt>
                <c:pt idx="728">
                  <c:v>123.72143643135269</c:v>
                </c:pt>
                <c:pt idx="729">
                  <c:v>123.72168814443144</c:v>
                </c:pt>
                <c:pt idx="730">
                  <c:v>123.72193985375229</c:v>
                </c:pt>
                <c:pt idx="731">
                  <c:v>123.72219155931525</c:v>
                </c:pt>
                <c:pt idx="732">
                  <c:v>123.72244326112036</c:v>
                </c:pt>
                <c:pt idx="733">
                  <c:v>123.72269495916767</c:v>
                </c:pt>
                <c:pt idx="734">
                  <c:v>123.72294665345716</c:v>
                </c:pt>
                <c:pt idx="735">
                  <c:v>123.72319834398888</c:v>
                </c:pt>
                <c:pt idx="736">
                  <c:v>123.72345003076288</c:v>
                </c:pt>
                <c:pt idx="737">
                  <c:v>123.72370171377914</c:v>
                </c:pt>
                <c:pt idx="738">
                  <c:v>123.7239533930377</c:v>
                </c:pt>
                <c:pt idx="739">
                  <c:v>123.72420506853861</c:v>
                </c:pt>
                <c:pt idx="740">
                  <c:v>123.72445674028188</c:v>
                </c:pt>
                <c:pt idx="741">
                  <c:v>123.72470840826752</c:v>
                </c:pt>
                <c:pt idx="742">
                  <c:v>123.72496007249561</c:v>
                </c:pt>
                <c:pt idx="743">
                  <c:v>123.7252117329661</c:v>
                </c:pt>
                <c:pt idx="744">
                  <c:v>123.72546338967909</c:v>
                </c:pt>
                <c:pt idx="745">
                  <c:v>123.72571504263456</c:v>
                </c:pt>
                <c:pt idx="746">
                  <c:v>123.72596669183255</c:v>
                </c:pt>
                <c:pt idx="747">
                  <c:v>123.7262183372731</c:v>
                </c:pt>
                <c:pt idx="748">
                  <c:v>123.7264699789562</c:v>
                </c:pt>
                <c:pt idx="749">
                  <c:v>123.7267216168819</c:v>
                </c:pt>
                <c:pt idx="750">
                  <c:v>123.72697325105023</c:v>
                </c:pt>
                <c:pt idx="751">
                  <c:v>123.7272248814612</c:v>
                </c:pt>
                <c:pt idx="752">
                  <c:v>123.72747650811485</c:v>
                </c:pt>
                <c:pt idx="753">
                  <c:v>123.7277281310112</c:v>
                </c:pt>
                <c:pt idx="754">
                  <c:v>123.72797975015028</c:v>
                </c:pt>
                <c:pt idx="755">
                  <c:v>123.72823136553212</c:v>
                </c:pt>
                <c:pt idx="756">
                  <c:v>123.72848297715674</c:v>
                </c:pt>
                <c:pt idx="757">
                  <c:v>123.72873458502418</c:v>
                </c:pt>
                <c:pt idx="758">
                  <c:v>123.72898618913443</c:v>
                </c:pt>
                <c:pt idx="759">
                  <c:v>123.72923778948756</c:v>
                </c:pt>
                <c:pt idx="760">
                  <c:v>123.72948938608357</c:v>
                </c:pt>
                <c:pt idx="761">
                  <c:v>123.72974097892249</c:v>
                </c:pt>
                <c:pt idx="762">
                  <c:v>123.72999256800436</c:v>
                </c:pt>
                <c:pt idx="763">
                  <c:v>123.7302441533292</c:v>
                </c:pt>
                <c:pt idx="764">
                  <c:v>123.73049573489703</c:v>
                </c:pt>
                <c:pt idx="765">
                  <c:v>123.73074731270786</c:v>
                </c:pt>
                <c:pt idx="766">
                  <c:v>123.73099888676175</c:v>
                </c:pt>
                <c:pt idx="767">
                  <c:v>123.73125045705871</c:v>
                </c:pt>
                <c:pt idx="768">
                  <c:v>123.73150202359878</c:v>
                </c:pt>
                <c:pt idx="769">
                  <c:v>123.73175358638196</c:v>
                </c:pt>
                <c:pt idx="770">
                  <c:v>123.73200514540828</c:v>
                </c:pt>
                <c:pt idx="771">
                  <c:v>123.73225670067781</c:v>
                </c:pt>
                <c:pt idx="772">
                  <c:v>123.73250825219053</c:v>
                </c:pt>
                <c:pt idx="773">
                  <c:v>123.73275979994646</c:v>
                </c:pt>
                <c:pt idx="774">
                  <c:v>123.73301134394568</c:v>
                </c:pt>
                <c:pt idx="775">
                  <c:v>123.73326288418816</c:v>
                </c:pt>
                <c:pt idx="776">
                  <c:v>123.73351442067396</c:v>
                </c:pt>
                <c:pt idx="777">
                  <c:v>123.73376595340308</c:v>
                </c:pt>
                <c:pt idx="778">
                  <c:v>123.73401748237556</c:v>
                </c:pt>
                <c:pt idx="779">
                  <c:v>123.73426900759144</c:v>
                </c:pt>
                <c:pt idx="780">
                  <c:v>123.73452052905073</c:v>
                </c:pt>
                <c:pt idx="781">
                  <c:v>123.73477204675346</c:v>
                </c:pt>
                <c:pt idx="782">
                  <c:v>123.73502356069967</c:v>
                </c:pt>
                <c:pt idx="783">
                  <c:v>123.73527507088937</c:v>
                </c:pt>
                <c:pt idx="784">
                  <c:v>123.73552657732259</c:v>
                </c:pt>
                <c:pt idx="785">
                  <c:v>123.73577807999935</c:v>
                </c:pt>
                <c:pt idx="786">
                  <c:v>123.7360295789197</c:v>
                </c:pt>
                <c:pt idx="787">
                  <c:v>123.73628107408361</c:v>
                </c:pt>
                <c:pt idx="788">
                  <c:v>123.73653256549116</c:v>
                </c:pt>
                <c:pt idx="789">
                  <c:v>123.73678405314236</c:v>
                </c:pt>
                <c:pt idx="790">
                  <c:v>123.73703553703724</c:v>
                </c:pt>
                <c:pt idx="791">
                  <c:v>123.73728701717583</c:v>
                </c:pt>
                <c:pt idx="792">
                  <c:v>123.73753849355815</c:v>
                </c:pt>
                <c:pt idx="793">
                  <c:v>123.73778996618422</c:v>
                </c:pt>
                <c:pt idx="794">
                  <c:v>123.73804143505409</c:v>
                </c:pt>
                <c:pt idx="795">
                  <c:v>123.73829290016775</c:v>
                </c:pt>
                <c:pt idx="796">
                  <c:v>123.73854436152524</c:v>
                </c:pt>
                <c:pt idx="797">
                  <c:v>123.73879581912661</c:v>
                </c:pt>
                <c:pt idx="798">
                  <c:v>123.73904727297185</c:v>
                </c:pt>
                <c:pt idx="799">
                  <c:v>123.73929872306101</c:v>
                </c:pt>
                <c:pt idx="800">
                  <c:v>123.73955016939412</c:v>
                </c:pt>
                <c:pt idx="801">
                  <c:v>123.73980161197119</c:v>
                </c:pt>
                <c:pt idx="802">
                  <c:v>123.74005305079226</c:v>
                </c:pt>
                <c:pt idx="803">
                  <c:v>123.74030448585734</c:v>
                </c:pt>
                <c:pt idx="804">
                  <c:v>123.74055591716647</c:v>
                </c:pt>
                <c:pt idx="805">
                  <c:v>123.74080734471967</c:v>
                </c:pt>
                <c:pt idx="806">
                  <c:v>123.74105876851698</c:v>
                </c:pt>
                <c:pt idx="807">
                  <c:v>123.7413101885584</c:v>
                </c:pt>
                <c:pt idx="808">
                  <c:v>123.74156160484398</c:v>
                </c:pt>
                <c:pt idx="809">
                  <c:v>123.74181301737374</c:v>
                </c:pt>
                <c:pt idx="810">
                  <c:v>123.74206442614771</c:v>
                </c:pt>
                <c:pt idx="811">
                  <c:v>123.7423158311659</c:v>
                </c:pt>
                <c:pt idx="812">
                  <c:v>123.74256723242836</c:v>
                </c:pt>
                <c:pt idx="813">
                  <c:v>123.74281862993509</c:v>
                </c:pt>
                <c:pt idx="814">
                  <c:v>123.74307002368612</c:v>
                </c:pt>
                <c:pt idx="815">
                  <c:v>123.7433214136815</c:v>
                </c:pt>
                <c:pt idx="816">
                  <c:v>123.74357279992124</c:v>
                </c:pt>
                <c:pt idx="817">
                  <c:v>123.74382418240538</c:v>
                </c:pt>
                <c:pt idx="818">
                  <c:v>123.74407556113393</c:v>
                </c:pt>
                <c:pt idx="819">
                  <c:v>123.74432693610692</c:v>
                </c:pt>
                <c:pt idx="820">
                  <c:v>123.74457830732437</c:v>
                </c:pt>
                <c:pt idx="821">
                  <c:v>123.74482967478633</c:v>
                </c:pt>
                <c:pt idx="822">
                  <c:v>123.7450810384928</c:v>
                </c:pt>
                <c:pt idx="823">
                  <c:v>123.74533239844382</c:v>
                </c:pt>
                <c:pt idx="824">
                  <c:v>123.74558375463941</c:v>
                </c:pt>
                <c:pt idx="825">
                  <c:v>123.74583510707961</c:v>
                </c:pt>
                <c:pt idx="826">
                  <c:v>123.74608645576441</c:v>
                </c:pt>
                <c:pt idx="827">
                  <c:v>123.74633780069388</c:v>
                </c:pt>
                <c:pt idx="828">
                  <c:v>123.74658914186801</c:v>
                </c:pt>
                <c:pt idx="829">
                  <c:v>123.74684047928686</c:v>
                </c:pt>
                <c:pt idx="830">
                  <c:v>123.74709181295044</c:v>
                </c:pt>
                <c:pt idx="831">
                  <c:v>123.7473431428588</c:v>
                </c:pt>
                <c:pt idx="832">
                  <c:v>123.7475944690119</c:v>
                </c:pt>
                <c:pt idx="833">
                  <c:v>123.74784579140984</c:v>
                </c:pt>
                <c:pt idx="834">
                  <c:v>123.74809711005261</c:v>
                </c:pt>
                <c:pt idx="835">
                  <c:v>123.74834842494023</c:v>
                </c:pt>
                <c:pt idx="836">
                  <c:v>123.74859973607276</c:v>
                </c:pt>
                <c:pt idx="837">
                  <c:v>123.7488510434502</c:v>
                </c:pt>
                <c:pt idx="838">
                  <c:v>123.74910234707258</c:v>
                </c:pt>
                <c:pt idx="839">
                  <c:v>123.74935364693994</c:v>
                </c:pt>
                <c:pt idx="840">
                  <c:v>123.74960494305228</c:v>
                </c:pt>
                <c:pt idx="841">
                  <c:v>123.74985623540962</c:v>
                </c:pt>
                <c:pt idx="842">
                  <c:v>123.75010752401204</c:v>
                </c:pt>
                <c:pt idx="843">
                  <c:v>123.75035880885953</c:v>
                </c:pt>
                <c:pt idx="844">
                  <c:v>123.7506100899521</c:v>
                </c:pt>
                <c:pt idx="845">
                  <c:v>123.7508613672898</c:v>
                </c:pt>
                <c:pt idx="846">
                  <c:v>123.75111264087266</c:v>
                </c:pt>
                <c:pt idx="847">
                  <c:v>123.7513639107007</c:v>
                </c:pt>
                <c:pt idx="848">
                  <c:v>123.75161517677394</c:v>
                </c:pt>
                <c:pt idx="849">
                  <c:v>123.75186643909242</c:v>
                </c:pt>
                <c:pt idx="850">
                  <c:v>123.75211769765615</c:v>
                </c:pt>
                <c:pt idx="851">
                  <c:v>123.75236895246518</c:v>
                </c:pt>
                <c:pt idx="852">
                  <c:v>123.7526202035195</c:v>
                </c:pt>
                <c:pt idx="853">
                  <c:v>123.75287145081917</c:v>
                </c:pt>
                <c:pt idx="854">
                  <c:v>123.75312269436419</c:v>
                </c:pt>
                <c:pt idx="855">
                  <c:v>123.75337393415462</c:v>
                </c:pt>
                <c:pt idx="856">
                  <c:v>123.75362517019046</c:v>
                </c:pt>
                <c:pt idx="857">
                  <c:v>123.75387640247173</c:v>
                </c:pt>
                <c:pt idx="858">
                  <c:v>123.75412763099847</c:v>
                </c:pt>
                <c:pt idx="859">
                  <c:v>123.75437885577071</c:v>
                </c:pt>
                <c:pt idx="860">
                  <c:v>123.75463007678846</c:v>
                </c:pt>
                <c:pt idx="861">
                  <c:v>123.75488129405177</c:v>
                </c:pt>
                <c:pt idx="862">
                  <c:v>123.75513250756065</c:v>
                </c:pt>
                <c:pt idx="863">
                  <c:v>123.75538371731513</c:v>
                </c:pt>
                <c:pt idx="864">
                  <c:v>123.75563492331523</c:v>
                </c:pt>
                <c:pt idx="865">
                  <c:v>123.75588612556101</c:v>
                </c:pt>
                <c:pt idx="866">
                  <c:v>123.75613732405245</c:v>
                </c:pt>
                <c:pt idx="867">
                  <c:v>123.75638851878961</c:v>
                </c:pt>
                <c:pt idx="868">
                  <c:v>123.75663970977247</c:v>
                </c:pt>
                <c:pt idx="869">
                  <c:v>123.75689089700111</c:v>
                </c:pt>
                <c:pt idx="870">
                  <c:v>123.75714208047555</c:v>
                </c:pt>
                <c:pt idx="871">
                  <c:v>123.75739326019578</c:v>
                </c:pt>
                <c:pt idx="872">
                  <c:v>123.75764443616184</c:v>
                </c:pt>
                <c:pt idx="873">
                  <c:v>123.75789560837379</c:v>
                </c:pt>
                <c:pt idx="874">
                  <c:v>123.75814677683161</c:v>
                </c:pt>
                <c:pt idx="875">
                  <c:v>123.75839794153535</c:v>
                </c:pt>
                <c:pt idx="876">
                  <c:v>123.75864910248504</c:v>
                </c:pt>
                <c:pt idx="877">
                  <c:v>123.7589002596807</c:v>
                </c:pt>
                <c:pt idx="878">
                  <c:v>123.75915141312235</c:v>
                </c:pt>
                <c:pt idx="879">
                  <c:v>123.75940256281004</c:v>
                </c:pt>
                <c:pt idx="880">
                  <c:v>123.75965370874376</c:v>
                </c:pt>
                <c:pt idx="881">
                  <c:v>123.75990485092356</c:v>
                </c:pt>
                <c:pt idx="882">
                  <c:v>123.76015598934946</c:v>
                </c:pt>
                <c:pt idx="883">
                  <c:v>123.76040712402147</c:v>
                </c:pt>
                <c:pt idx="884">
                  <c:v>123.76065825493966</c:v>
                </c:pt>
                <c:pt idx="885">
                  <c:v>123.76090938210402</c:v>
                </c:pt>
                <c:pt idx="886">
                  <c:v>123.76116050551458</c:v>
                </c:pt>
                <c:pt idx="887">
                  <c:v>123.76141162517138</c:v>
                </c:pt>
                <c:pt idx="888">
                  <c:v>123.76166274107445</c:v>
                </c:pt>
                <c:pt idx="889">
                  <c:v>123.76191385322377</c:v>
                </c:pt>
                <c:pt idx="890">
                  <c:v>123.76216496161943</c:v>
                </c:pt>
                <c:pt idx="891">
                  <c:v>123.76241606626142</c:v>
                </c:pt>
                <c:pt idx="892">
                  <c:v>123.76266716714979</c:v>
                </c:pt>
                <c:pt idx="893">
                  <c:v>123.76291826428454</c:v>
                </c:pt>
                <c:pt idx="894">
                  <c:v>123.76316935766569</c:v>
                </c:pt>
                <c:pt idx="895">
                  <c:v>123.76342044729329</c:v>
                </c:pt>
                <c:pt idx="896">
                  <c:v>123.76367153316737</c:v>
                </c:pt>
                <c:pt idx="897">
                  <c:v>123.76392261528795</c:v>
                </c:pt>
                <c:pt idx="898">
                  <c:v>123.76417369365507</c:v>
                </c:pt>
                <c:pt idx="899">
                  <c:v>123.76442476826871</c:v>
                </c:pt>
                <c:pt idx="900">
                  <c:v>123.76467583912894</c:v>
                </c:pt>
                <c:pt idx="901">
                  <c:v>123.76492690623577</c:v>
                </c:pt>
                <c:pt idx="902">
                  <c:v>123.76517796958923</c:v>
                </c:pt>
                <c:pt idx="903">
                  <c:v>123.76542902918932</c:v>
                </c:pt>
                <c:pt idx="904">
                  <c:v>123.76568008503611</c:v>
                </c:pt>
                <c:pt idx="905">
                  <c:v>123.7659311371296</c:v>
                </c:pt>
                <c:pt idx="906">
                  <c:v>123.76618218546983</c:v>
                </c:pt>
                <c:pt idx="907">
                  <c:v>123.76643323005682</c:v>
                </c:pt>
                <c:pt idx="908">
                  <c:v>123.76668427089059</c:v>
                </c:pt>
                <c:pt idx="909">
                  <c:v>123.76693530797117</c:v>
                </c:pt>
                <c:pt idx="910">
                  <c:v>123.7671863412986</c:v>
                </c:pt>
                <c:pt idx="911">
                  <c:v>123.76743737087288</c:v>
                </c:pt>
                <c:pt idx="912">
                  <c:v>123.76768839669406</c:v>
                </c:pt>
                <c:pt idx="913">
                  <c:v>123.76793941876215</c:v>
                </c:pt>
                <c:pt idx="914">
                  <c:v>123.76819043707721</c:v>
                </c:pt>
                <c:pt idx="915">
                  <c:v>123.76844145163922</c:v>
                </c:pt>
                <c:pt idx="916">
                  <c:v>123.76869246244823</c:v>
                </c:pt>
                <c:pt idx="917">
                  <c:v>123.76894346950425</c:v>
                </c:pt>
                <c:pt idx="918">
                  <c:v>123.76919447280733</c:v>
                </c:pt>
                <c:pt idx="919">
                  <c:v>123.76944547235749</c:v>
                </c:pt>
                <c:pt idx="920">
                  <c:v>123.76969646815475</c:v>
                </c:pt>
                <c:pt idx="921">
                  <c:v>123.76994746019913</c:v>
                </c:pt>
                <c:pt idx="922">
                  <c:v>123.77019844849067</c:v>
                </c:pt>
                <c:pt idx="923">
                  <c:v>123.7704494330294</c:v>
                </c:pt>
                <c:pt idx="924">
                  <c:v>123.77070041381535</c:v>
                </c:pt>
                <c:pt idx="925">
                  <c:v>123.77095139084851</c:v>
                </c:pt>
                <c:pt idx="926">
                  <c:v>123.77120236412894</c:v>
                </c:pt>
                <c:pt idx="927">
                  <c:v>123.77145333365665</c:v>
                </c:pt>
                <c:pt idx="928">
                  <c:v>123.77170429943169</c:v>
                </c:pt>
                <c:pt idx="929">
                  <c:v>123.77195526145405</c:v>
                </c:pt>
                <c:pt idx="930">
                  <c:v>123.77220621972378</c:v>
                </c:pt>
                <c:pt idx="931">
                  <c:v>123.7724571742409</c:v>
                </c:pt>
                <c:pt idx="932">
                  <c:v>123.77270812500545</c:v>
                </c:pt>
                <c:pt idx="933">
                  <c:v>123.77295907201744</c:v>
                </c:pt>
                <c:pt idx="934">
                  <c:v>123.7732100152769</c:v>
                </c:pt>
                <c:pt idx="935">
                  <c:v>123.77346095478386</c:v>
                </c:pt>
                <c:pt idx="936">
                  <c:v>123.77371189053835</c:v>
                </c:pt>
                <c:pt idx="937">
                  <c:v>123.77396282254037</c:v>
                </c:pt>
                <c:pt idx="938">
                  <c:v>123.77421375078998</c:v>
                </c:pt>
                <c:pt idx="939">
                  <c:v>123.77446467528719</c:v>
                </c:pt>
                <c:pt idx="940">
                  <c:v>123.77471559603202</c:v>
                </c:pt>
                <c:pt idx="941">
                  <c:v>123.77496651302452</c:v>
                </c:pt>
                <c:pt idx="942">
                  <c:v>123.7752174262647</c:v>
                </c:pt>
                <c:pt idx="943">
                  <c:v>123.77546833575259</c:v>
                </c:pt>
                <c:pt idx="944">
                  <c:v>123.77571924148822</c:v>
                </c:pt>
                <c:pt idx="945">
                  <c:v>123.77597014347161</c:v>
                </c:pt>
                <c:pt idx="946">
                  <c:v>123.77622104170278</c:v>
                </c:pt>
                <c:pt idx="947">
                  <c:v>123.77647193618176</c:v>
                </c:pt>
                <c:pt idx="948">
                  <c:v>123.77672282690858</c:v>
                </c:pt>
                <c:pt idx="949">
                  <c:v>123.77697371388328</c:v>
                </c:pt>
                <c:pt idx="950">
                  <c:v>123.77722459710586</c:v>
                </c:pt>
                <c:pt idx="951">
                  <c:v>123.77747547657636</c:v>
                </c:pt>
                <c:pt idx="952">
                  <c:v>123.77772635229481</c:v>
                </c:pt>
                <c:pt idx="953">
                  <c:v>123.77797722426124</c:v>
                </c:pt>
                <c:pt idx="954">
                  <c:v>123.77822809247566</c:v>
                </c:pt>
                <c:pt idx="955">
                  <c:v>123.7784789569381</c:v>
                </c:pt>
                <c:pt idx="956">
                  <c:v>123.7787298176486</c:v>
                </c:pt>
                <c:pt idx="957">
                  <c:v>123.77898067460717</c:v>
                </c:pt>
                <c:pt idx="958">
                  <c:v>123.77923152781385</c:v>
                </c:pt>
                <c:pt idx="959">
                  <c:v>123.77948237726865</c:v>
                </c:pt>
                <c:pt idx="960">
                  <c:v>123.77973322297163</c:v>
                </c:pt>
                <c:pt idx="961">
                  <c:v>123.77998406492277</c:v>
                </c:pt>
                <c:pt idx="962">
                  <c:v>123.78023490312214</c:v>
                </c:pt>
                <c:pt idx="963">
                  <c:v>123.78048573756972</c:v>
                </c:pt>
                <c:pt idx="964">
                  <c:v>123.78073656826557</c:v>
                </c:pt>
                <c:pt idx="965">
                  <c:v>123.78098739520972</c:v>
                </c:pt>
                <c:pt idx="966">
                  <c:v>123.78123821840217</c:v>
                </c:pt>
                <c:pt idx="967">
                  <c:v>123.78148903784296</c:v>
                </c:pt>
                <c:pt idx="968">
                  <c:v>123.78173985353212</c:v>
                </c:pt>
                <c:pt idx="969">
                  <c:v>123.78199066546969</c:v>
                </c:pt>
                <c:pt idx="970">
                  <c:v>123.78224147365565</c:v>
                </c:pt>
                <c:pt idx="971">
                  <c:v>123.78249227809009</c:v>
                </c:pt>
                <c:pt idx="972">
                  <c:v>123.782743078773</c:v>
                </c:pt>
                <c:pt idx="973">
                  <c:v>123.78299387570439</c:v>
                </c:pt>
                <c:pt idx="974">
                  <c:v>123.78324466888431</c:v>
                </c:pt>
                <c:pt idx="975">
                  <c:v>123.78349545831279</c:v>
                </c:pt>
                <c:pt idx="976">
                  <c:v>123.78374624398982</c:v>
                </c:pt>
                <c:pt idx="977">
                  <c:v>123.78399702591548</c:v>
                </c:pt>
                <c:pt idx="978">
                  <c:v>123.78424780408977</c:v>
                </c:pt>
                <c:pt idx="979">
                  <c:v>123.78449857851271</c:v>
                </c:pt>
                <c:pt idx="980">
                  <c:v>123.78474934918434</c:v>
                </c:pt>
                <c:pt idx="981">
                  <c:v>123.78500011610467</c:v>
                </c:pt>
                <c:pt idx="982">
                  <c:v>123.78525087927375</c:v>
                </c:pt>
                <c:pt idx="983">
                  <c:v>123.78550163869158</c:v>
                </c:pt>
                <c:pt idx="984">
                  <c:v>123.78575239435823</c:v>
                </c:pt>
                <c:pt idx="985">
                  <c:v>123.78600314627366</c:v>
                </c:pt>
                <c:pt idx="986">
                  <c:v>123.78625389443793</c:v>
                </c:pt>
                <c:pt idx="987">
                  <c:v>123.78650463885108</c:v>
                </c:pt>
                <c:pt idx="988">
                  <c:v>123.78675537951312</c:v>
                </c:pt>
                <c:pt idx="989">
                  <c:v>123.78700611642411</c:v>
                </c:pt>
                <c:pt idx="990">
                  <c:v>123.78725684958401</c:v>
                </c:pt>
                <c:pt idx="991">
                  <c:v>123.7875075789929</c:v>
                </c:pt>
                <c:pt idx="992">
                  <c:v>123.78775830465079</c:v>
                </c:pt>
                <c:pt idx="993">
                  <c:v>123.78800902655772</c:v>
                </c:pt>
                <c:pt idx="994">
                  <c:v>123.78825974471367</c:v>
                </c:pt>
                <c:pt idx="995">
                  <c:v>123.78851045911871</c:v>
                </c:pt>
                <c:pt idx="996">
                  <c:v>123.78876116977287</c:v>
                </c:pt>
                <c:pt idx="997">
                  <c:v>123.78901187667616</c:v>
                </c:pt>
                <c:pt idx="998">
                  <c:v>123.78926257982859</c:v>
                </c:pt>
                <c:pt idx="999">
                  <c:v>123.78951327923023</c:v>
                </c:pt>
                <c:pt idx="1000">
                  <c:v>123.78976397488105</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33.900100000000215</c:v>
                </c:pt>
                <c:pt idx="521">
                  <c:v>33.900200000000218</c:v>
                </c:pt>
                <c:pt idx="522">
                  <c:v>33.900300000000222</c:v>
                </c:pt>
                <c:pt idx="523">
                  <c:v>33.900400000000225</c:v>
                </c:pt>
                <c:pt idx="524">
                  <c:v>33.900500000000228</c:v>
                </c:pt>
                <c:pt idx="525">
                  <c:v>33.900600000000232</c:v>
                </c:pt>
                <c:pt idx="526">
                  <c:v>33.900700000000235</c:v>
                </c:pt>
                <c:pt idx="527">
                  <c:v>33.900800000000238</c:v>
                </c:pt>
                <c:pt idx="528">
                  <c:v>33.900900000000242</c:v>
                </c:pt>
                <c:pt idx="529">
                  <c:v>33.901000000000245</c:v>
                </c:pt>
                <c:pt idx="530">
                  <c:v>33.901100000000248</c:v>
                </c:pt>
                <c:pt idx="531">
                  <c:v>33.901200000000252</c:v>
                </c:pt>
                <c:pt idx="532">
                  <c:v>33.901300000000255</c:v>
                </c:pt>
                <c:pt idx="533">
                  <c:v>33.901400000000258</c:v>
                </c:pt>
                <c:pt idx="534">
                  <c:v>33.901500000000262</c:v>
                </c:pt>
                <c:pt idx="535">
                  <c:v>33.901600000000265</c:v>
                </c:pt>
                <c:pt idx="536">
                  <c:v>33.901700000000268</c:v>
                </c:pt>
                <c:pt idx="537">
                  <c:v>33.901800000000271</c:v>
                </c:pt>
                <c:pt idx="538">
                  <c:v>33.901900000000275</c:v>
                </c:pt>
                <c:pt idx="539">
                  <c:v>33.902000000000278</c:v>
                </c:pt>
                <c:pt idx="540">
                  <c:v>33.902100000000281</c:v>
                </c:pt>
                <c:pt idx="541">
                  <c:v>33.902200000000285</c:v>
                </c:pt>
                <c:pt idx="542">
                  <c:v>33.902300000000288</c:v>
                </c:pt>
                <c:pt idx="543">
                  <c:v>33.902400000000291</c:v>
                </c:pt>
                <c:pt idx="544">
                  <c:v>33.902500000000295</c:v>
                </c:pt>
                <c:pt idx="545">
                  <c:v>33.902600000000298</c:v>
                </c:pt>
                <c:pt idx="546">
                  <c:v>33.902700000000301</c:v>
                </c:pt>
                <c:pt idx="547">
                  <c:v>33.902800000000305</c:v>
                </c:pt>
                <c:pt idx="548">
                  <c:v>33.902900000000308</c:v>
                </c:pt>
                <c:pt idx="549">
                  <c:v>33.903000000000311</c:v>
                </c:pt>
                <c:pt idx="550">
                  <c:v>33.903100000000315</c:v>
                </c:pt>
                <c:pt idx="551">
                  <c:v>33.903200000000318</c:v>
                </c:pt>
                <c:pt idx="552">
                  <c:v>33.903300000000321</c:v>
                </c:pt>
                <c:pt idx="553">
                  <c:v>33.903400000000325</c:v>
                </c:pt>
                <c:pt idx="554">
                  <c:v>33.903500000000328</c:v>
                </c:pt>
                <c:pt idx="555">
                  <c:v>33.903600000000331</c:v>
                </c:pt>
                <c:pt idx="556">
                  <c:v>33.903700000000335</c:v>
                </c:pt>
                <c:pt idx="557">
                  <c:v>33.903800000000338</c:v>
                </c:pt>
                <c:pt idx="558">
                  <c:v>33.903900000000341</c:v>
                </c:pt>
                <c:pt idx="559">
                  <c:v>33.904000000000345</c:v>
                </c:pt>
                <c:pt idx="560">
                  <c:v>33.904100000000348</c:v>
                </c:pt>
                <c:pt idx="561">
                  <c:v>33.904200000000351</c:v>
                </c:pt>
                <c:pt idx="562">
                  <c:v>33.904300000000354</c:v>
                </c:pt>
                <c:pt idx="563">
                  <c:v>33.904400000000358</c:v>
                </c:pt>
                <c:pt idx="564">
                  <c:v>33.904500000000361</c:v>
                </c:pt>
                <c:pt idx="565">
                  <c:v>33.904600000000364</c:v>
                </c:pt>
                <c:pt idx="566">
                  <c:v>33.904700000000368</c:v>
                </c:pt>
                <c:pt idx="567">
                  <c:v>33.904800000000371</c:v>
                </c:pt>
                <c:pt idx="568">
                  <c:v>33.904900000000374</c:v>
                </c:pt>
                <c:pt idx="569">
                  <c:v>33.905000000000378</c:v>
                </c:pt>
                <c:pt idx="570">
                  <c:v>33.905100000000381</c:v>
                </c:pt>
                <c:pt idx="571">
                  <c:v>33.905200000000384</c:v>
                </c:pt>
                <c:pt idx="572">
                  <c:v>33.905300000000388</c:v>
                </c:pt>
                <c:pt idx="573">
                  <c:v>33.905400000000391</c:v>
                </c:pt>
                <c:pt idx="574">
                  <c:v>33.905500000000394</c:v>
                </c:pt>
                <c:pt idx="575">
                  <c:v>33.905600000000398</c:v>
                </c:pt>
                <c:pt idx="576">
                  <c:v>33.905700000000401</c:v>
                </c:pt>
                <c:pt idx="577">
                  <c:v>33.905800000000404</c:v>
                </c:pt>
                <c:pt idx="578">
                  <c:v>33.905900000000408</c:v>
                </c:pt>
                <c:pt idx="579">
                  <c:v>33.906000000000411</c:v>
                </c:pt>
                <c:pt idx="580">
                  <c:v>33.906100000000414</c:v>
                </c:pt>
                <c:pt idx="581">
                  <c:v>33.906200000000418</c:v>
                </c:pt>
                <c:pt idx="582">
                  <c:v>33.906300000000421</c:v>
                </c:pt>
                <c:pt idx="583">
                  <c:v>33.906400000000424</c:v>
                </c:pt>
                <c:pt idx="584">
                  <c:v>33.906500000000428</c:v>
                </c:pt>
                <c:pt idx="585">
                  <c:v>33.906600000000431</c:v>
                </c:pt>
                <c:pt idx="586">
                  <c:v>33.906700000000434</c:v>
                </c:pt>
                <c:pt idx="587">
                  <c:v>33.906800000000437</c:v>
                </c:pt>
                <c:pt idx="588">
                  <c:v>33.906900000000441</c:v>
                </c:pt>
                <c:pt idx="589">
                  <c:v>33.907000000000444</c:v>
                </c:pt>
                <c:pt idx="590">
                  <c:v>33.907100000000447</c:v>
                </c:pt>
                <c:pt idx="591">
                  <c:v>33.907200000000451</c:v>
                </c:pt>
                <c:pt idx="592">
                  <c:v>33.907300000000454</c:v>
                </c:pt>
                <c:pt idx="593">
                  <c:v>33.907400000000457</c:v>
                </c:pt>
                <c:pt idx="594">
                  <c:v>33.907500000000461</c:v>
                </c:pt>
                <c:pt idx="595">
                  <c:v>33.907600000000464</c:v>
                </c:pt>
                <c:pt idx="596">
                  <c:v>33.907700000000467</c:v>
                </c:pt>
                <c:pt idx="597">
                  <c:v>33.907800000000471</c:v>
                </c:pt>
                <c:pt idx="598">
                  <c:v>33.907900000000474</c:v>
                </c:pt>
                <c:pt idx="599">
                  <c:v>33.908000000000477</c:v>
                </c:pt>
                <c:pt idx="600">
                  <c:v>33.908100000000481</c:v>
                </c:pt>
                <c:pt idx="601">
                  <c:v>33.908200000000484</c:v>
                </c:pt>
                <c:pt idx="602">
                  <c:v>33.908300000000487</c:v>
                </c:pt>
                <c:pt idx="603">
                  <c:v>33.908400000000491</c:v>
                </c:pt>
                <c:pt idx="604">
                  <c:v>33.908500000000494</c:v>
                </c:pt>
                <c:pt idx="605">
                  <c:v>33.908600000000497</c:v>
                </c:pt>
                <c:pt idx="606">
                  <c:v>33.908700000000501</c:v>
                </c:pt>
                <c:pt idx="607">
                  <c:v>33.908800000000504</c:v>
                </c:pt>
                <c:pt idx="608">
                  <c:v>33.908900000000507</c:v>
                </c:pt>
                <c:pt idx="609">
                  <c:v>33.909000000000511</c:v>
                </c:pt>
                <c:pt idx="610">
                  <c:v>33.909100000000514</c:v>
                </c:pt>
                <c:pt idx="611">
                  <c:v>33.909200000000517</c:v>
                </c:pt>
                <c:pt idx="612">
                  <c:v>33.90930000000052</c:v>
                </c:pt>
                <c:pt idx="613">
                  <c:v>33.909400000000524</c:v>
                </c:pt>
                <c:pt idx="614">
                  <c:v>33.909500000000527</c:v>
                </c:pt>
                <c:pt idx="615">
                  <c:v>33.90960000000053</c:v>
                </c:pt>
                <c:pt idx="616">
                  <c:v>33.909700000000534</c:v>
                </c:pt>
                <c:pt idx="617">
                  <c:v>33.909800000000537</c:v>
                </c:pt>
                <c:pt idx="618">
                  <c:v>33.90990000000054</c:v>
                </c:pt>
                <c:pt idx="619">
                  <c:v>33.910000000000544</c:v>
                </c:pt>
                <c:pt idx="620">
                  <c:v>33.910100000000547</c:v>
                </c:pt>
                <c:pt idx="621">
                  <c:v>33.91020000000055</c:v>
                </c:pt>
                <c:pt idx="622">
                  <c:v>33.910300000000554</c:v>
                </c:pt>
                <c:pt idx="623">
                  <c:v>33.910400000000557</c:v>
                </c:pt>
                <c:pt idx="624">
                  <c:v>33.91050000000056</c:v>
                </c:pt>
                <c:pt idx="625">
                  <c:v>33.910600000000564</c:v>
                </c:pt>
                <c:pt idx="626">
                  <c:v>33.910700000000567</c:v>
                </c:pt>
                <c:pt idx="627">
                  <c:v>33.91080000000057</c:v>
                </c:pt>
                <c:pt idx="628">
                  <c:v>33.910900000000574</c:v>
                </c:pt>
                <c:pt idx="629">
                  <c:v>33.911000000000577</c:v>
                </c:pt>
                <c:pt idx="630">
                  <c:v>33.91110000000058</c:v>
                </c:pt>
                <c:pt idx="631">
                  <c:v>33.911200000000584</c:v>
                </c:pt>
                <c:pt idx="632">
                  <c:v>33.911300000000587</c:v>
                </c:pt>
                <c:pt idx="633">
                  <c:v>33.91140000000059</c:v>
                </c:pt>
                <c:pt idx="634">
                  <c:v>33.911500000000594</c:v>
                </c:pt>
                <c:pt idx="635">
                  <c:v>33.911600000000597</c:v>
                </c:pt>
                <c:pt idx="636">
                  <c:v>33.9117000000006</c:v>
                </c:pt>
                <c:pt idx="637">
                  <c:v>33.911800000000603</c:v>
                </c:pt>
                <c:pt idx="638">
                  <c:v>33.911900000000607</c:v>
                </c:pt>
                <c:pt idx="639">
                  <c:v>33.91200000000061</c:v>
                </c:pt>
                <c:pt idx="640">
                  <c:v>33.912100000000613</c:v>
                </c:pt>
                <c:pt idx="641">
                  <c:v>33.912200000000617</c:v>
                </c:pt>
                <c:pt idx="642">
                  <c:v>33.91230000000062</c:v>
                </c:pt>
                <c:pt idx="643">
                  <c:v>33.912400000000623</c:v>
                </c:pt>
                <c:pt idx="644">
                  <c:v>33.912500000000627</c:v>
                </c:pt>
                <c:pt idx="645">
                  <c:v>33.91260000000063</c:v>
                </c:pt>
                <c:pt idx="646">
                  <c:v>33.912700000000633</c:v>
                </c:pt>
                <c:pt idx="647">
                  <c:v>33.912800000000637</c:v>
                </c:pt>
                <c:pt idx="648">
                  <c:v>33.91290000000064</c:v>
                </c:pt>
                <c:pt idx="649">
                  <c:v>33.913000000000643</c:v>
                </c:pt>
                <c:pt idx="650">
                  <c:v>33.913100000000647</c:v>
                </c:pt>
                <c:pt idx="651">
                  <c:v>33.91320000000065</c:v>
                </c:pt>
                <c:pt idx="652">
                  <c:v>33.913300000000653</c:v>
                </c:pt>
                <c:pt idx="653">
                  <c:v>33.913400000000657</c:v>
                </c:pt>
                <c:pt idx="654">
                  <c:v>33.91350000000066</c:v>
                </c:pt>
                <c:pt idx="655">
                  <c:v>33.913600000000663</c:v>
                </c:pt>
                <c:pt idx="656">
                  <c:v>33.913700000000667</c:v>
                </c:pt>
                <c:pt idx="657">
                  <c:v>33.91380000000067</c:v>
                </c:pt>
                <c:pt idx="658">
                  <c:v>33.913900000000673</c:v>
                </c:pt>
                <c:pt idx="659">
                  <c:v>33.914000000000676</c:v>
                </c:pt>
                <c:pt idx="660">
                  <c:v>33.91410000000068</c:v>
                </c:pt>
                <c:pt idx="661">
                  <c:v>33.914200000000683</c:v>
                </c:pt>
                <c:pt idx="662">
                  <c:v>33.914300000000686</c:v>
                </c:pt>
                <c:pt idx="663">
                  <c:v>33.91440000000069</c:v>
                </c:pt>
                <c:pt idx="664">
                  <c:v>33.914500000000693</c:v>
                </c:pt>
                <c:pt idx="665">
                  <c:v>33.914600000000696</c:v>
                </c:pt>
                <c:pt idx="666">
                  <c:v>33.9147000000007</c:v>
                </c:pt>
                <c:pt idx="667">
                  <c:v>33.914800000000703</c:v>
                </c:pt>
                <c:pt idx="668">
                  <c:v>33.914900000000706</c:v>
                </c:pt>
                <c:pt idx="669">
                  <c:v>33.91500000000071</c:v>
                </c:pt>
                <c:pt idx="670">
                  <c:v>33.915100000000713</c:v>
                </c:pt>
                <c:pt idx="671">
                  <c:v>33.915200000000716</c:v>
                </c:pt>
                <c:pt idx="672">
                  <c:v>33.91530000000072</c:v>
                </c:pt>
                <c:pt idx="673">
                  <c:v>33.915400000000723</c:v>
                </c:pt>
                <c:pt idx="674">
                  <c:v>33.915500000000726</c:v>
                </c:pt>
                <c:pt idx="675">
                  <c:v>33.91560000000073</c:v>
                </c:pt>
                <c:pt idx="676">
                  <c:v>33.915700000000733</c:v>
                </c:pt>
                <c:pt idx="677">
                  <c:v>33.915800000000736</c:v>
                </c:pt>
                <c:pt idx="678">
                  <c:v>33.91590000000074</c:v>
                </c:pt>
                <c:pt idx="679">
                  <c:v>33.916000000000743</c:v>
                </c:pt>
                <c:pt idx="680">
                  <c:v>33.916100000000746</c:v>
                </c:pt>
                <c:pt idx="681">
                  <c:v>33.91620000000075</c:v>
                </c:pt>
                <c:pt idx="682">
                  <c:v>33.916300000000753</c:v>
                </c:pt>
                <c:pt idx="683">
                  <c:v>33.916400000000756</c:v>
                </c:pt>
                <c:pt idx="684">
                  <c:v>33.916500000000759</c:v>
                </c:pt>
                <c:pt idx="685">
                  <c:v>33.916600000000763</c:v>
                </c:pt>
                <c:pt idx="686">
                  <c:v>33.916700000000766</c:v>
                </c:pt>
                <c:pt idx="687">
                  <c:v>33.916800000000769</c:v>
                </c:pt>
                <c:pt idx="688">
                  <c:v>33.916900000000773</c:v>
                </c:pt>
                <c:pt idx="689">
                  <c:v>33.917000000000776</c:v>
                </c:pt>
                <c:pt idx="690">
                  <c:v>33.917100000000779</c:v>
                </c:pt>
                <c:pt idx="691">
                  <c:v>33.917200000000783</c:v>
                </c:pt>
                <c:pt idx="692">
                  <c:v>33.917300000000786</c:v>
                </c:pt>
                <c:pt idx="693">
                  <c:v>33.917400000000789</c:v>
                </c:pt>
                <c:pt idx="694">
                  <c:v>33.917500000000793</c:v>
                </c:pt>
                <c:pt idx="695">
                  <c:v>33.917600000000796</c:v>
                </c:pt>
                <c:pt idx="696">
                  <c:v>33.917700000000799</c:v>
                </c:pt>
                <c:pt idx="697">
                  <c:v>33.917800000000803</c:v>
                </c:pt>
                <c:pt idx="698">
                  <c:v>33.917900000000806</c:v>
                </c:pt>
                <c:pt idx="699">
                  <c:v>33.918000000000809</c:v>
                </c:pt>
                <c:pt idx="700">
                  <c:v>33.918100000000813</c:v>
                </c:pt>
                <c:pt idx="701">
                  <c:v>33.918200000000816</c:v>
                </c:pt>
                <c:pt idx="702">
                  <c:v>33.918300000000819</c:v>
                </c:pt>
                <c:pt idx="703">
                  <c:v>33.918400000000823</c:v>
                </c:pt>
                <c:pt idx="704">
                  <c:v>33.918500000000826</c:v>
                </c:pt>
                <c:pt idx="705">
                  <c:v>33.918600000000829</c:v>
                </c:pt>
                <c:pt idx="706">
                  <c:v>33.918700000000833</c:v>
                </c:pt>
                <c:pt idx="707">
                  <c:v>33.918800000000836</c:v>
                </c:pt>
                <c:pt idx="708">
                  <c:v>33.918900000000839</c:v>
                </c:pt>
                <c:pt idx="709">
                  <c:v>33.919000000000842</c:v>
                </c:pt>
                <c:pt idx="710">
                  <c:v>33.919100000000846</c:v>
                </c:pt>
                <c:pt idx="711">
                  <c:v>33.919200000000849</c:v>
                </c:pt>
                <c:pt idx="712">
                  <c:v>33.919300000000852</c:v>
                </c:pt>
                <c:pt idx="713">
                  <c:v>33.919400000000856</c:v>
                </c:pt>
                <c:pt idx="714">
                  <c:v>33.919500000000859</c:v>
                </c:pt>
                <c:pt idx="715">
                  <c:v>33.919600000000862</c:v>
                </c:pt>
                <c:pt idx="716">
                  <c:v>33.919700000000866</c:v>
                </c:pt>
                <c:pt idx="717">
                  <c:v>33.919800000000869</c:v>
                </c:pt>
                <c:pt idx="718">
                  <c:v>33.919900000000872</c:v>
                </c:pt>
                <c:pt idx="719">
                  <c:v>33.920000000000876</c:v>
                </c:pt>
                <c:pt idx="720">
                  <c:v>33.920100000000879</c:v>
                </c:pt>
                <c:pt idx="721">
                  <c:v>33.920200000000882</c:v>
                </c:pt>
                <c:pt idx="722">
                  <c:v>33.920300000000886</c:v>
                </c:pt>
                <c:pt idx="723">
                  <c:v>33.920400000000889</c:v>
                </c:pt>
                <c:pt idx="724">
                  <c:v>33.920500000000892</c:v>
                </c:pt>
                <c:pt idx="725">
                  <c:v>33.920600000000896</c:v>
                </c:pt>
                <c:pt idx="726">
                  <c:v>33.920700000000899</c:v>
                </c:pt>
                <c:pt idx="727">
                  <c:v>33.920800000000902</c:v>
                </c:pt>
                <c:pt idx="728">
                  <c:v>33.920900000000906</c:v>
                </c:pt>
                <c:pt idx="729">
                  <c:v>33.921000000000909</c:v>
                </c:pt>
                <c:pt idx="730">
                  <c:v>33.921100000000912</c:v>
                </c:pt>
                <c:pt idx="731">
                  <c:v>33.921200000000916</c:v>
                </c:pt>
                <c:pt idx="732">
                  <c:v>33.921300000000919</c:v>
                </c:pt>
                <c:pt idx="733">
                  <c:v>33.921400000000922</c:v>
                </c:pt>
                <c:pt idx="734">
                  <c:v>33.921500000000925</c:v>
                </c:pt>
                <c:pt idx="735">
                  <c:v>33.921600000000929</c:v>
                </c:pt>
                <c:pt idx="736">
                  <c:v>33.921700000000932</c:v>
                </c:pt>
                <c:pt idx="737">
                  <c:v>33.921800000000935</c:v>
                </c:pt>
                <c:pt idx="738">
                  <c:v>33.921900000000939</c:v>
                </c:pt>
                <c:pt idx="739">
                  <c:v>33.922000000000942</c:v>
                </c:pt>
                <c:pt idx="740">
                  <c:v>33.922100000000945</c:v>
                </c:pt>
                <c:pt idx="741">
                  <c:v>33.922200000000949</c:v>
                </c:pt>
                <c:pt idx="742">
                  <c:v>33.922300000000952</c:v>
                </c:pt>
                <c:pt idx="743">
                  <c:v>33.922400000000955</c:v>
                </c:pt>
                <c:pt idx="744">
                  <c:v>33.922500000000959</c:v>
                </c:pt>
                <c:pt idx="745">
                  <c:v>33.922600000000962</c:v>
                </c:pt>
                <c:pt idx="746">
                  <c:v>33.922700000000965</c:v>
                </c:pt>
                <c:pt idx="747">
                  <c:v>33.922800000000969</c:v>
                </c:pt>
                <c:pt idx="748">
                  <c:v>33.922900000000972</c:v>
                </c:pt>
                <c:pt idx="749">
                  <c:v>33.923000000000975</c:v>
                </c:pt>
                <c:pt idx="750">
                  <c:v>33.923100000000979</c:v>
                </c:pt>
                <c:pt idx="751">
                  <c:v>33.923200000000982</c:v>
                </c:pt>
                <c:pt idx="752">
                  <c:v>33.923300000000985</c:v>
                </c:pt>
                <c:pt idx="753">
                  <c:v>33.923400000000989</c:v>
                </c:pt>
                <c:pt idx="754">
                  <c:v>33.923500000000992</c:v>
                </c:pt>
                <c:pt idx="755">
                  <c:v>33.923600000000995</c:v>
                </c:pt>
                <c:pt idx="756">
                  <c:v>33.923700000000999</c:v>
                </c:pt>
                <c:pt idx="757">
                  <c:v>33.923800000001002</c:v>
                </c:pt>
                <c:pt idx="758">
                  <c:v>33.923900000001005</c:v>
                </c:pt>
                <c:pt idx="759">
                  <c:v>33.924000000001008</c:v>
                </c:pt>
                <c:pt idx="760">
                  <c:v>33.924100000001012</c:v>
                </c:pt>
                <c:pt idx="761">
                  <c:v>33.924200000001015</c:v>
                </c:pt>
                <c:pt idx="762">
                  <c:v>33.924300000001018</c:v>
                </c:pt>
                <c:pt idx="763">
                  <c:v>33.924400000001022</c:v>
                </c:pt>
                <c:pt idx="764">
                  <c:v>33.924500000001025</c:v>
                </c:pt>
                <c:pt idx="765">
                  <c:v>33.924600000001028</c:v>
                </c:pt>
                <c:pt idx="766">
                  <c:v>33.924700000001032</c:v>
                </c:pt>
                <c:pt idx="767">
                  <c:v>33.924800000001035</c:v>
                </c:pt>
                <c:pt idx="768">
                  <c:v>33.924900000001038</c:v>
                </c:pt>
                <c:pt idx="769">
                  <c:v>33.925000000001042</c:v>
                </c:pt>
                <c:pt idx="770">
                  <c:v>33.925100000001045</c:v>
                </c:pt>
                <c:pt idx="771">
                  <c:v>33.925200000001048</c:v>
                </c:pt>
                <c:pt idx="772">
                  <c:v>33.925300000001052</c:v>
                </c:pt>
                <c:pt idx="773">
                  <c:v>33.925400000001055</c:v>
                </c:pt>
                <c:pt idx="774">
                  <c:v>33.925500000001058</c:v>
                </c:pt>
                <c:pt idx="775">
                  <c:v>33.925600000001062</c:v>
                </c:pt>
                <c:pt idx="776">
                  <c:v>33.925700000001065</c:v>
                </c:pt>
                <c:pt idx="777">
                  <c:v>33.925800000001068</c:v>
                </c:pt>
                <c:pt idx="778">
                  <c:v>33.925900000001072</c:v>
                </c:pt>
                <c:pt idx="779">
                  <c:v>33.926000000001075</c:v>
                </c:pt>
                <c:pt idx="780">
                  <c:v>33.926100000001078</c:v>
                </c:pt>
                <c:pt idx="781">
                  <c:v>33.926200000001081</c:v>
                </c:pt>
                <c:pt idx="782">
                  <c:v>33.926300000001085</c:v>
                </c:pt>
                <c:pt idx="783">
                  <c:v>33.926400000001088</c:v>
                </c:pt>
                <c:pt idx="784">
                  <c:v>33.926500000001091</c:v>
                </c:pt>
                <c:pt idx="785">
                  <c:v>33.926600000001095</c:v>
                </c:pt>
                <c:pt idx="786">
                  <c:v>33.926700000001098</c:v>
                </c:pt>
                <c:pt idx="787">
                  <c:v>33.926800000001101</c:v>
                </c:pt>
                <c:pt idx="788">
                  <c:v>33.926900000001105</c:v>
                </c:pt>
                <c:pt idx="789">
                  <c:v>33.927000000001108</c:v>
                </c:pt>
                <c:pt idx="790">
                  <c:v>33.927100000001111</c:v>
                </c:pt>
                <c:pt idx="791">
                  <c:v>33.927200000001115</c:v>
                </c:pt>
                <c:pt idx="792">
                  <c:v>33.927300000001118</c:v>
                </c:pt>
                <c:pt idx="793">
                  <c:v>33.927400000001121</c:v>
                </c:pt>
                <c:pt idx="794">
                  <c:v>33.927500000001125</c:v>
                </c:pt>
                <c:pt idx="795">
                  <c:v>33.927600000001128</c:v>
                </c:pt>
                <c:pt idx="796">
                  <c:v>33.927700000001131</c:v>
                </c:pt>
                <c:pt idx="797">
                  <c:v>33.927800000001135</c:v>
                </c:pt>
                <c:pt idx="798">
                  <c:v>33.927900000001138</c:v>
                </c:pt>
                <c:pt idx="799">
                  <c:v>33.928000000001141</c:v>
                </c:pt>
                <c:pt idx="800">
                  <c:v>33.928100000001145</c:v>
                </c:pt>
                <c:pt idx="801">
                  <c:v>33.928200000001148</c:v>
                </c:pt>
                <c:pt idx="802">
                  <c:v>33.928300000001151</c:v>
                </c:pt>
                <c:pt idx="803">
                  <c:v>33.928400000001155</c:v>
                </c:pt>
                <c:pt idx="804">
                  <c:v>33.928500000001158</c:v>
                </c:pt>
                <c:pt idx="805">
                  <c:v>33.928600000001161</c:v>
                </c:pt>
                <c:pt idx="806">
                  <c:v>33.928700000001164</c:v>
                </c:pt>
                <c:pt idx="807">
                  <c:v>33.928800000001168</c:v>
                </c:pt>
                <c:pt idx="808">
                  <c:v>33.928900000001171</c:v>
                </c:pt>
                <c:pt idx="809">
                  <c:v>33.929000000001174</c:v>
                </c:pt>
                <c:pt idx="810">
                  <c:v>33.929100000001178</c:v>
                </c:pt>
                <c:pt idx="811">
                  <c:v>33.929200000001181</c:v>
                </c:pt>
                <c:pt idx="812">
                  <c:v>33.929300000001184</c:v>
                </c:pt>
                <c:pt idx="813">
                  <c:v>33.929400000001188</c:v>
                </c:pt>
                <c:pt idx="814">
                  <c:v>33.929500000001191</c:v>
                </c:pt>
                <c:pt idx="815">
                  <c:v>33.929600000001194</c:v>
                </c:pt>
                <c:pt idx="816">
                  <c:v>33.929700000001198</c:v>
                </c:pt>
                <c:pt idx="817">
                  <c:v>33.929800000001201</c:v>
                </c:pt>
                <c:pt idx="818">
                  <c:v>33.929900000001204</c:v>
                </c:pt>
                <c:pt idx="819">
                  <c:v>33.930000000001208</c:v>
                </c:pt>
                <c:pt idx="820">
                  <c:v>33.930100000001211</c:v>
                </c:pt>
                <c:pt idx="821">
                  <c:v>33.930200000001214</c:v>
                </c:pt>
                <c:pt idx="822">
                  <c:v>33.930300000001218</c:v>
                </c:pt>
                <c:pt idx="823">
                  <c:v>33.930400000001221</c:v>
                </c:pt>
                <c:pt idx="824">
                  <c:v>33.930500000001224</c:v>
                </c:pt>
                <c:pt idx="825">
                  <c:v>33.930600000001228</c:v>
                </c:pt>
                <c:pt idx="826">
                  <c:v>33.930700000001231</c:v>
                </c:pt>
                <c:pt idx="827">
                  <c:v>33.930800000001234</c:v>
                </c:pt>
                <c:pt idx="828">
                  <c:v>33.930900000001238</c:v>
                </c:pt>
                <c:pt idx="829">
                  <c:v>33.931000000001241</c:v>
                </c:pt>
                <c:pt idx="830">
                  <c:v>33.931100000001244</c:v>
                </c:pt>
                <c:pt idx="831">
                  <c:v>33.931200000001247</c:v>
                </c:pt>
                <c:pt idx="832">
                  <c:v>33.931300000001251</c:v>
                </c:pt>
                <c:pt idx="833">
                  <c:v>33.931400000001254</c:v>
                </c:pt>
                <c:pt idx="834">
                  <c:v>33.931500000001257</c:v>
                </c:pt>
                <c:pt idx="835">
                  <c:v>33.931600000001261</c:v>
                </c:pt>
                <c:pt idx="836">
                  <c:v>33.931700000001264</c:v>
                </c:pt>
                <c:pt idx="837">
                  <c:v>33.931800000001267</c:v>
                </c:pt>
                <c:pt idx="838">
                  <c:v>33.931900000001271</c:v>
                </c:pt>
                <c:pt idx="839">
                  <c:v>33.932000000001274</c:v>
                </c:pt>
                <c:pt idx="840">
                  <c:v>33.932100000001277</c:v>
                </c:pt>
                <c:pt idx="841">
                  <c:v>33.932200000001281</c:v>
                </c:pt>
                <c:pt idx="842">
                  <c:v>33.932300000001284</c:v>
                </c:pt>
                <c:pt idx="843">
                  <c:v>33.932400000001287</c:v>
                </c:pt>
                <c:pt idx="844">
                  <c:v>33.932500000001291</c:v>
                </c:pt>
                <c:pt idx="845">
                  <c:v>33.932600000001294</c:v>
                </c:pt>
                <c:pt idx="846">
                  <c:v>33.932700000001297</c:v>
                </c:pt>
                <c:pt idx="847">
                  <c:v>33.932800000001301</c:v>
                </c:pt>
                <c:pt idx="848">
                  <c:v>33.932900000001304</c:v>
                </c:pt>
                <c:pt idx="849">
                  <c:v>33.933000000001307</c:v>
                </c:pt>
                <c:pt idx="850">
                  <c:v>33.933100000001311</c:v>
                </c:pt>
                <c:pt idx="851">
                  <c:v>33.933200000001314</c:v>
                </c:pt>
                <c:pt idx="852">
                  <c:v>33.933300000001317</c:v>
                </c:pt>
                <c:pt idx="853">
                  <c:v>33.933400000001321</c:v>
                </c:pt>
                <c:pt idx="854">
                  <c:v>33.933500000001324</c:v>
                </c:pt>
                <c:pt idx="855">
                  <c:v>33.933600000001327</c:v>
                </c:pt>
                <c:pt idx="856">
                  <c:v>33.93370000000133</c:v>
                </c:pt>
                <c:pt idx="857">
                  <c:v>33.933800000001334</c:v>
                </c:pt>
                <c:pt idx="858">
                  <c:v>33.933900000001337</c:v>
                </c:pt>
                <c:pt idx="859">
                  <c:v>33.93400000000134</c:v>
                </c:pt>
                <c:pt idx="860">
                  <c:v>33.934100000001344</c:v>
                </c:pt>
                <c:pt idx="861">
                  <c:v>33.934200000001347</c:v>
                </c:pt>
                <c:pt idx="862">
                  <c:v>33.93430000000135</c:v>
                </c:pt>
                <c:pt idx="863">
                  <c:v>33.934400000001354</c:v>
                </c:pt>
                <c:pt idx="864">
                  <c:v>33.934500000001357</c:v>
                </c:pt>
                <c:pt idx="865">
                  <c:v>33.93460000000136</c:v>
                </c:pt>
                <c:pt idx="866">
                  <c:v>33.934700000001364</c:v>
                </c:pt>
                <c:pt idx="867">
                  <c:v>33.934800000001367</c:v>
                </c:pt>
                <c:pt idx="868">
                  <c:v>33.93490000000137</c:v>
                </c:pt>
                <c:pt idx="869">
                  <c:v>33.935000000001374</c:v>
                </c:pt>
                <c:pt idx="870">
                  <c:v>33.935100000001377</c:v>
                </c:pt>
                <c:pt idx="871">
                  <c:v>33.93520000000138</c:v>
                </c:pt>
                <c:pt idx="872">
                  <c:v>33.935300000001384</c:v>
                </c:pt>
                <c:pt idx="873">
                  <c:v>33.935400000001387</c:v>
                </c:pt>
                <c:pt idx="874">
                  <c:v>33.93550000000139</c:v>
                </c:pt>
                <c:pt idx="875">
                  <c:v>33.935600000001394</c:v>
                </c:pt>
                <c:pt idx="876">
                  <c:v>33.935700000001397</c:v>
                </c:pt>
                <c:pt idx="877">
                  <c:v>33.9358000000014</c:v>
                </c:pt>
                <c:pt idx="878">
                  <c:v>33.935900000001403</c:v>
                </c:pt>
                <c:pt idx="879">
                  <c:v>33.936000000001407</c:v>
                </c:pt>
                <c:pt idx="880">
                  <c:v>33.93610000000141</c:v>
                </c:pt>
                <c:pt idx="881">
                  <c:v>33.936200000001413</c:v>
                </c:pt>
                <c:pt idx="882">
                  <c:v>33.936300000001417</c:v>
                </c:pt>
                <c:pt idx="883">
                  <c:v>33.93640000000142</c:v>
                </c:pt>
                <c:pt idx="884">
                  <c:v>33.936500000001423</c:v>
                </c:pt>
                <c:pt idx="885">
                  <c:v>33.936600000001427</c:v>
                </c:pt>
                <c:pt idx="886">
                  <c:v>33.93670000000143</c:v>
                </c:pt>
                <c:pt idx="887">
                  <c:v>33.936800000001433</c:v>
                </c:pt>
                <c:pt idx="888">
                  <c:v>33.936900000001437</c:v>
                </c:pt>
                <c:pt idx="889">
                  <c:v>33.93700000000144</c:v>
                </c:pt>
                <c:pt idx="890">
                  <c:v>33.937100000001443</c:v>
                </c:pt>
                <c:pt idx="891">
                  <c:v>33.937200000001447</c:v>
                </c:pt>
                <c:pt idx="892">
                  <c:v>33.93730000000145</c:v>
                </c:pt>
                <c:pt idx="893">
                  <c:v>33.937400000001453</c:v>
                </c:pt>
                <c:pt idx="894">
                  <c:v>33.937500000001457</c:v>
                </c:pt>
                <c:pt idx="895">
                  <c:v>33.93760000000146</c:v>
                </c:pt>
                <c:pt idx="896">
                  <c:v>33.937700000001463</c:v>
                </c:pt>
                <c:pt idx="897">
                  <c:v>33.937800000001467</c:v>
                </c:pt>
                <c:pt idx="898">
                  <c:v>33.93790000000147</c:v>
                </c:pt>
                <c:pt idx="899">
                  <c:v>33.938000000001473</c:v>
                </c:pt>
                <c:pt idx="900">
                  <c:v>33.938100000001477</c:v>
                </c:pt>
                <c:pt idx="901">
                  <c:v>33.93820000000148</c:v>
                </c:pt>
                <c:pt idx="902">
                  <c:v>33.938300000001483</c:v>
                </c:pt>
                <c:pt idx="903">
                  <c:v>33.938400000001486</c:v>
                </c:pt>
                <c:pt idx="904">
                  <c:v>33.93850000000149</c:v>
                </c:pt>
                <c:pt idx="905">
                  <c:v>33.938600000001493</c:v>
                </c:pt>
                <c:pt idx="906">
                  <c:v>33.938700000001496</c:v>
                </c:pt>
                <c:pt idx="907">
                  <c:v>33.9388000000015</c:v>
                </c:pt>
                <c:pt idx="908">
                  <c:v>33.938900000001503</c:v>
                </c:pt>
                <c:pt idx="909">
                  <c:v>33.939000000001506</c:v>
                </c:pt>
                <c:pt idx="910">
                  <c:v>33.93910000000151</c:v>
                </c:pt>
                <c:pt idx="911">
                  <c:v>33.939200000001513</c:v>
                </c:pt>
                <c:pt idx="912">
                  <c:v>33.939300000001516</c:v>
                </c:pt>
                <c:pt idx="913">
                  <c:v>33.93940000000152</c:v>
                </c:pt>
                <c:pt idx="914">
                  <c:v>33.939500000001523</c:v>
                </c:pt>
                <c:pt idx="915">
                  <c:v>33.939600000001526</c:v>
                </c:pt>
                <c:pt idx="916">
                  <c:v>33.93970000000153</c:v>
                </c:pt>
                <c:pt idx="917">
                  <c:v>33.939800000001533</c:v>
                </c:pt>
                <c:pt idx="918">
                  <c:v>33.939900000001536</c:v>
                </c:pt>
                <c:pt idx="919">
                  <c:v>33.94000000000154</c:v>
                </c:pt>
                <c:pt idx="920">
                  <c:v>33.940100000001543</c:v>
                </c:pt>
                <c:pt idx="921">
                  <c:v>33.940200000001546</c:v>
                </c:pt>
                <c:pt idx="922">
                  <c:v>33.94030000000155</c:v>
                </c:pt>
                <c:pt idx="923">
                  <c:v>33.940400000001553</c:v>
                </c:pt>
                <c:pt idx="924">
                  <c:v>33.940500000001556</c:v>
                </c:pt>
                <c:pt idx="925">
                  <c:v>33.94060000000156</c:v>
                </c:pt>
                <c:pt idx="926">
                  <c:v>33.940700000001563</c:v>
                </c:pt>
                <c:pt idx="927">
                  <c:v>33.940800000001566</c:v>
                </c:pt>
                <c:pt idx="928">
                  <c:v>33.940900000001569</c:v>
                </c:pt>
                <c:pt idx="929">
                  <c:v>33.941000000001573</c:v>
                </c:pt>
                <c:pt idx="930">
                  <c:v>33.941100000001576</c:v>
                </c:pt>
                <c:pt idx="931">
                  <c:v>33.941200000001579</c:v>
                </c:pt>
                <c:pt idx="932">
                  <c:v>33.941300000001583</c:v>
                </c:pt>
                <c:pt idx="933">
                  <c:v>33.941400000001586</c:v>
                </c:pt>
                <c:pt idx="934">
                  <c:v>33.941500000001589</c:v>
                </c:pt>
                <c:pt idx="935">
                  <c:v>33.941600000001593</c:v>
                </c:pt>
                <c:pt idx="936">
                  <c:v>33.941700000001596</c:v>
                </c:pt>
                <c:pt idx="937">
                  <c:v>33.941800000001599</c:v>
                </c:pt>
                <c:pt idx="938">
                  <c:v>33.941900000001603</c:v>
                </c:pt>
                <c:pt idx="939">
                  <c:v>33.942000000001606</c:v>
                </c:pt>
                <c:pt idx="940">
                  <c:v>33.942100000001609</c:v>
                </c:pt>
                <c:pt idx="941">
                  <c:v>33.942200000001613</c:v>
                </c:pt>
                <c:pt idx="942">
                  <c:v>33.942300000001616</c:v>
                </c:pt>
                <c:pt idx="943">
                  <c:v>33.942400000001619</c:v>
                </c:pt>
                <c:pt idx="944">
                  <c:v>33.942500000001623</c:v>
                </c:pt>
                <c:pt idx="945">
                  <c:v>33.942600000001626</c:v>
                </c:pt>
                <c:pt idx="946">
                  <c:v>33.942700000001629</c:v>
                </c:pt>
                <c:pt idx="947">
                  <c:v>33.942800000001633</c:v>
                </c:pt>
                <c:pt idx="948">
                  <c:v>33.942900000001636</c:v>
                </c:pt>
                <c:pt idx="949">
                  <c:v>33.943000000001639</c:v>
                </c:pt>
                <c:pt idx="950">
                  <c:v>33.943100000001643</c:v>
                </c:pt>
                <c:pt idx="951">
                  <c:v>33.943200000001646</c:v>
                </c:pt>
                <c:pt idx="952">
                  <c:v>33.943300000001649</c:v>
                </c:pt>
                <c:pt idx="953">
                  <c:v>33.943400000001652</c:v>
                </c:pt>
                <c:pt idx="954">
                  <c:v>33.943500000001656</c:v>
                </c:pt>
                <c:pt idx="955">
                  <c:v>33.943600000001659</c:v>
                </c:pt>
                <c:pt idx="956">
                  <c:v>33.943700000001662</c:v>
                </c:pt>
                <c:pt idx="957">
                  <c:v>33.943800000001666</c:v>
                </c:pt>
                <c:pt idx="958">
                  <c:v>33.943900000001669</c:v>
                </c:pt>
                <c:pt idx="959">
                  <c:v>33.944000000001672</c:v>
                </c:pt>
                <c:pt idx="960">
                  <c:v>33.944100000001676</c:v>
                </c:pt>
                <c:pt idx="961">
                  <c:v>33.944200000001679</c:v>
                </c:pt>
                <c:pt idx="962">
                  <c:v>33.944300000001682</c:v>
                </c:pt>
                <c:pt idx="963">
                  <c:v>33.944400000001686</c:v>
                </c:pt>
                <c:pt idx="964">
                  <c:v>33.944500000001689</c:v>
                </c:pt>
                <c:pt idx="965">
                  <c:v>33.944600000001692</c:v>
                </c:pt>
                <c:pt idx="966">
                  <c:v>33.944700000001696</c:v>
                </c:pt>
                <c:pt idx="967">
                  <c:v>33.944800000001699</c:v>
                </c:pt>
                <c:pt idx="968">
                  <c:v>33.944900000001702</c:v>
                </c:pt>
                <c:pt idx="969">
                  <c:v>33.945000000001706</c:v>
                </c:pt>
                <c:pt idx="970">
                  <c:v>33.945100000001709</c:v>
                </c:pt>
                <c:pt idx="971">
                  <c:v>33.945200000001712</c:v>
                </c:pt>
                <c:pt idx="972">
                  <c:v>33.945300000001716</c:v>
                </c:pt>
                <c:pt idx="973">
                  <c:v>33.945400000001719</c:v>
                </c:pt>
                <c:pt idx="974">
                  <c:v>33.945500000001722</c:v>
                </c:pt>
                <c:pt idx="975">
                  <c:v>33.945600000001726</c:v>
                </c:pt>
                <c:pt idx="976">
                  <c:v>33.945700000001729</c:v>
                </c:pt>
                <c:pt idx="977">
                  <c:v>33.945800000001732</c:v>
                </c:pt>
                <c:pt idx="978">
                  <c:v>33.945900000001735</c:v>
                </c:pt>
                <c:pt idx="979">
                  <c:v>33.946000000001739</c:v>
                </c:pt>
                <c:pt idx="980">
                  <c:v>33.946100000001742</c:v>
                </c:pt>
                <c:pt idx="981">
                  <c:v>33.946200000001745</c:v>
                </c:pt>
                <c:pt idx="982">
                  <c:v>33.946300000001749</c:v>
                </c:pt>
                <c:pt idx="983">
                  <c:v>33.946400000001752</c:v>
                </c:pt>
                <c:pt idx="984">
                  <c:v>33.946500000001755</c:v>
                </c:pt>
                <c:pt idx="985">
                  <c:v>33.946600000001759</c:v>
                </c:pt>
                <c:pt idx="986">
                  <c:v>33.946700000001762</c:v>
                </c:pt>
                <c:pt idx="987">
                  <c:v>33.946800000001765</c:v>
                </c:pt>
                <c:pt idx="988">
                  <c:v>33.946900000001769</c:v>
                </c:pt>
                <c:pt idx="989">
                  <c:v>33.947000000001772</c:v>
                </c:pt>
                <c:pt idx="990">
                  <c:v>33.947100000001775</c:v>
                </c:pt>
                <c:pt idx="991">
                  <c:v>33.947200000001779</c:v>
                </c:pt>
                <c:pt idx="992">
                  <c:v>33.947300000001782</c:v>
                </c:pt>
                <c:pt idx="993">
                  <c:v>33.947400000001785</c:v>
                </c:pt>
                <c:pt idx="994">
                  <c:v>33.947500000001789</c:v>
                </c:pt>
                <c:pt idx="995">
                  <c:v>33.947600000001792</c:v>
                </c:pt>
                <c:pt idx="996">
                  <c:v>33.947700000001795</c:v>
                </c:pt>
                <c:pt idx="997">
                  <c:v>33.947800000001799</c:v>
                </c:pt>
                <c:pt idx="998">
                  <c:v>33.947900000001802</c:v>
                </c:pt>
                <c:pt idx="999">
                  <c:v>33.948000000001805</c:v>
                </c:pt>
                <c:pt idx="1000">
                  <c:v>33.948100000001808</c:v>
                </c:pt>
              </c:numCache>
            </c:numRef>
          </c:xVal>
          <c:yVal>
            <c:numRef>
              <c:f>Calculs!$AG$4:$AG$1004</c:f>
              <c:numCache>
                <c:formatCode>0.00</c:formatCode>
                <c:ptCount val="1001"/>
                <c:pt idx="0">
                  <c:v>0</c:v>
                </c:pt>
                <c:pt idx="1">
                  <c:v>17.593017860892324</c:v>
                </c:pt>
                <c:pt idx="2">
                  <c:v>93.466956623155795</c:v>
                </c:pt>
                <c:pt idx="3">
                  <c:v>139.70423419614471</c:v>
                </c:pt>
                <c:pt idx="4">
                  <c:v>134.8728354811212</c:v>
                </c:pt>
                <c:pt idx="5">
                  <c:v>130.02968678750858</c:v>
                </c:pt>
                <c:pt idx="6">
                  <c:v>128.13112508484477</c:v>
                </c:pt>
                <c:pt idx="7">
                  <c:v>129.18520910146557</c:v>
                </c:pt>
                <c:pt idx="8">
                  <c:v>130.23993828313579</c:v>
                </c:pt>
                <c:pt idx="9">
                  <c:v>131.29529439778653</c:v>
                </c:pt>
                <c:pt idx="10">
                  <c:v>132.3512588839059</c:v>
                </c:pt>
                <c:pt idx="11">
                  <c:v>133.10101330514826</c:v>
                </c:pt>
                <c:pt idx="12">
                  <c:v>133.54370217361014</c:v>
                </c:pt>
                <c:pt idx="13">
                  <c:v>133.98570738650082</c:v>
                </c:pt>
                <c:pt idx="14">
                  <c:v>134.42701495066243</c:v>
                </c:pt>
                <c:pt idx="15">
                  <c:v>134.86761082281924</c:v>
                </c:pt>
                <c:pt idx="16">
                  <c:v>135.30748091048847</c:v>
                </c:pt>
                <c:pt idx="17">
                  <c:v>135.74661107290567</c:v>
                </c:pt>
                <c:pt idx="18">
                  <c:v>136.18498712196441</c:v>
                </c:pt>
                <c:pt idx="19">
                  <c:v>136.622594823171</c:v>
                </c:pt>
                <c:pt idx="20">
                  <c:v>137.05941989661329</c:v>
                </c:pt>
                <c:pt idx="21">
                  <c:v>137.37229587050075</c:v>
                </c:pt>
                <c:pt idx="22">
                  <c:v>137.56087837964591</c:v>
                </c:pt>
                <c:pt idx="23">
                  <c:v>137.7481579193522</c:v>
                </c:pt>
                <c:pt idx="24">
                  <c:v>137.93412588686749</c:v>
                </c:pt>
                <c:pt idx="25">
                  <c:v>138.11877371926943</c:v>
                </c:pt>
                <c:pt idx="26">
                  <c:v>138.30209289437332</c:v>
                </c:pt>
                <c:pt idx="27">
                  <c:v>138.48407493164041</c:v>
                </c:pt>
                <c:pt idx="28">
                  <c:v>138.66553074669116</c:v>
                </c:pt>
                <c:pt idx="29">
                  <c:v>138.84561949716007</c:v>
                </c:pt>
                <c:pt idx="30">
                  <c:v>139.02431996812541</c:v>
                </c:pt>
                <c:pt idx="31">
                  <c:v>139.20162550135538</c:v>
                </c:pt>
                <c:pt idx="32">
                  <c:v>139.37752932430462</c:v>
                </c:pt>
                <c:pt idx="33">
                  <c:v>139.55202457128664</c:v>
                </c:pt>
                <c:pt idx="34">
                  <c:v>139.72510430152585</c:v>
                </c:pt>
                <c:pt idx="35">
                  <c:v>139.89676151465147</c:v>
                </c:pt>
                <c:pt idx="36">
                  <c:v>140.06698916407808</c:v>
                </c:pt>
                <c:pt idx="37">
                  <c:v>140.23578016863124</c:v>
                </c:pt>
                <c:pt idx="38">
                  <c:v>140.40312742270714</c:v>
                </c:pt>
                <c:pt idx="39">
                  <c:v>140.56902380520023</c:v>
                </c:pt>
                <c:pt idx="40">
                  <c:v>140.73346218739076</c:v>
                </c:pt>
                <c:pt idx="41">
                  <c:v>140.80049254832392</c:v>
                </c:pt>
                <c:pt idx="42">
                  <c:v>140.76986716976782</c:v>
                </c:pt>
                <c:pt idx="43">
                  <c:v>140.7374285247752</c:v>
                </c:pt>
                <c:pt idx="44">
                  <c:v>140.70317576995461</c:v>
                </c:pt>
                <c:pt idx="45">
                  <c:v>140.66710812488074</c:v>
                </c:pt>
                <c:pt idx="46">
                  <c:v>140.6292248759394</c:v>
                </c:pt>
                <c:pt idx="47">
                  <c:v>140.58952537976293</c:v>
                </c:pt>
                <c:pt idx="48">
                  <c:v>140.54800906630942</c:v>
                </c:pt>
                <c:pt idx="49">
                  <c:v>140.50467544162871</c:v>
                </c:pt>
                <c:pt idx="50">
                  <c:v>140.45952409035419</c:v>
                </c:pt>
                <c:pt idx="51">
                  <c:v>140.4125546779517</c:v>
                </c:pt>
                <c:pt idx="52">
                  <c:v>140.36376695275362</c:v>
                </c:pt>
                <c:pt idx="53">
                  <c:v>140.31316074780199</c:v>
                </c:pt>
                <c:pt idx="54">
                  <c:v>140.26073598252194</c:v>
                </c:pt>
                <c:pt idx="55">
                  <c:v>140.20649266424169</c:v>
                </c:pt>
                <c:pt idx="56">
                  <c:v>140.15043088957651</c:v>
                </c:pt>
                <c:pt idx="57">
                  <c:v>140.09255084568895</c:v>
                </c:pt>
                <c:pt idx="58">
                  <c:v>140.03285281143758</c:v>
                </c:pt>
                <c:pt idx="59">
                  <c:v>139.97133715842475</c:v>
                </c:pt>
                <c:pt idx="60">
                  <c:v>139.90800435195197</c:v>
                </c:pt>
                <c:pt idx="61">
                  <c:v>139.84285495189187</c:v>
                </c:pt>
                <c:pt idx="62">
                  <c:v>139.77588961348249</c:v>
                </c:pt>
                <c:pt idx="63">
                  <c:v>139.70710908805162</c:v>
                </c:pt>
                <c:pt idx="64">
                  <c:v>139.63651422367525</c:v>
                </c:pt>
                <c:pt idx="65">
                  <c:v>139.56410596577655</c:v>
                </c:pt>
                <c:pt idx="66">
                  <c:v>139.48988535766844</c:v>
                </c:pt>
                <c:pt idx="67">
                  <c:v>139.41385354104455</c:v>
                </c:pt>
                <c:pt idx="68">
                  <c:v>139.33601175642184</c:v>
                </c:pt>
                <c:pt idx="69">
                  <c:v>139.25636134353778</c:v>
                </c:pt>
                <c:pt idx="70">
                  <c:v>139.17490374170481</c:v>
                </c:pt>
                <c:pt idx="71">
                  <c:v>139.09164049012549</c:v>
                </c:pt>
                <c:pt idx="72">
                  <c:v>139.00657322816954</c:v>
                </c:pt>
                <c:pt idx="73">
                  <c:v>138.91970369561517</c:v>
                </c:pt>
                <c:pt idx="74">
                  <c:v>138.83103373285689</c:v>
                </c:pt>
                <c:pt idx="75">
                  <c:v>138.74056528108136</c:v>
                </c:pt>
                <c:pt idx="76">
                  <c:v>138.64830038241209</c:v>
                </c:pt>
                <c:pt idx="77">
                  <c:v>138.55424118002549</c:v>
                </c:pt>
                <c:pt idx="78">
                  <c:v>138.45838991823894</c:v>
                </c:pt>
                <c:pt idx="79">
                  <c:v>138.36074894257166</c:v>
                </c:pt>
                <c:pt idx="80">
                  <c:v>138.2613206997805</c:v>
                </c:pt>
                <c:pt idx="81">
                  <c:v>138.06239542219021</c:v>
                </c:pt>
                <c:pt idx="82">
                  <c:v>137.76378082190814</c:v>
                </c:pt>
                <c:pt idx="83">
                  <c:v>137.46314903467578</c:v>
                </c:pt>
                <c:pt idx="84">
                  <c:v>137.16051085860016</c:v>
                </c:pt>
                <c:pt idx="85">
                  <c:v>136.85587720451917</c:v>
                </c:pt>
                <c:pt idx="86">
                  <c:v>136.54925909484447</c:v>
                </c:pt>
                <c:pt idx="87">
                  <c:v>136.24066766238207</c:v>
                </c:pt>
                <c:pt idx="88">
                  <c:v>135.93011414912942</c:v>
                </c:pt>
                <c:pt idx="89">
                  <c:v>135.61760990505212</c:v>
                </c:pt>
                <c:pt idx="90">
                  <c:v>135.3031663868388</c:v>
                </c:pt>
                <c:pt idx="91">
                  <c:v>134.9435883264405</c:v>
                </c:pt>
                <c:pt idx="92">
                  <c:v>134.53880872137847</c:v>
                </c:pt>
                <c:pt idx="93">
                  <c:v>134.13203413783467</c:v>
                </c:pt>
                <c:pt idx="94">
                  <c:v>133.72328030853217</c:v>
                </c:pt>
                <c:pt idx="95">
                  <c:v>133.31256306341811</c:v>
                </c:pt>
                <c:pt idx="96">
                  <c:v>132.8998983277416</c:v>
                </c:pt>
                <c:pt idx="97">
                  <c:v>132.48530212011792</c:v>
                </c:pt>
                <c:pt idx="98">
                  <c:v>132.06879055057959</c:v>
                </c:pt>
                <c:pt idx="99">
                  <c:v>131.65037981861505</c:v>
                </c:pt>
                <c:pt idx="100">
                  <c:v>131.23008621119556</c:v>
                </c:pt>
                <c:pt idx="101">
                  <c:v>130.80100975254351</c:v>
                </c:pt>
                <c:pt idx="102">
                  <c:v>130.3631555988845</c:v>
                </c:pt>
                <c:pt idx="103">
                  <c:v>129.92345583246677</c:v>
                </c:pt>
                <c:pt idx="104">
                  <c:v>129.48192770309271</c:v>
                </c:pt>
                <c:pt idx="105">
                  <c:v>129.0385885367177</c:v>
                </c:pt>
                <c:pt idx="106">
                  <c:v>128.59345573332712</c:v>
                </c:pt>
                <c:pt idx="107">
                  <c:v>128.14654676480757</c:v>
                </c:pt>
                <c:pt idx="108">
                  <c:v>127.69787917281198</c:v>
                </c:pt>
                <c:pt idx="109">
                  <c:v>127.24747056661963</c:v>
                </c:pt>
                <c:pt idx="110">
                  <c:v>126.79533862099174</c:v>
                </c:pt>
                <c:pt idx="111">
                  <c:v>126.42119437431499</c:v>
                </c:pt>
                <c:pt idx="112">
                  <c:v>126.12517121555564</c:v>
                </c:pt>
                <c:pt idx="113">
                  <c:v>125.82759068122911</c:v>
                </c:pt>
                <c:pt idx="114">
                  <c:v>125.52846382245011</c:v>
                </c:pt>
                <c:pt idx="115">
                  <c:v>125.22780176069365</c:v>
                </c:pt>
                <c:pt idx="116">
                  <c:v>124.925615686581</c:v>
                </c:pt>
                <c:pt idx="117">
                  <c:v>124.62191685865866</c:v>
                </c:pt>
                <c:pt idx="118">
                  <c:v>124.31671660217056</c:v>
                </c:pt>
                <c:pt idx="119">
                  <c:v>124.01002630782349</c:v>
                </c:pt>
                <c:pt idx="120">
                  <c:v>123.70185743054678</c:v>
                </c:pt>
                <c:pt idx="121">
                  <c:v>123.25994107188123</c:v>
                </c:pt>
                <c:pt idx="122">
                  <c:v>122.68411768934315</c:v>
                </c:pt>
                <c:pt idx="123">
                  <c:v>122.10670359839872</c:v>
                </c:pt>
                <c:pt idx="124">
                  <c:v>121.52772219927782</c:v>
                </c:pt>
                <c:pt idx="125">
                  <c:v>120.9471969093657</c:v>
                </c:pt>
                <c:pt idx="126">
                  <c:v>120.36515116031384</c:v>
                </c:pt>
                <c:pt idx="127">
                  <c:v>119.7816083951632</c:v>
                </c:pt>
                <c:pt idx="128">
                  <c:v>119.19659206547986</c:v>
                </c:pt>
                <c:pt idx="129">
                  <c:v>118.61012562850325</c:v>
                </c:pt>
                <c:pt idx="130">
                  <c:v>118.02223254430902</c:v>
                </c:pt>
                <c:pt idx="131">
                  <c:v>117.39827947249097</c:v>
                </c:pt>
                <c:pt idx="132">
                  <c:v>116.73825239088752</c:v>
                </c:pt>
                <c:pt idx="133">
                  <c:v>116.07684398621184</c:v>
                </c:pt>
                <c:pt idx="134">
                  <c:v>115.41408102140514</c:v>
                </c:pt>
                <c:pt idx="135">
                  <c:v>114.74999022916325</c:v>
                </c:pt>
                <c:pt idx="136">
                  <c:v>114.084598308723</c:v>
                </c:pt>
                <c:pt idx="137">
                  <c:v>113.41793192267471</c:v>
                </c:pt>
                <c:pt idx="138">
                  <c:v>112.75001769379971</c:v>
                </c:pt>
                <c:pt idx="139">
                  <c:v>112.08088220193467</c:v>
                </c:pt>
                <c:pt idx="140">
                  <c:v>111.41055198086279</c:v>
                </c:pt>
                <c:pt idx="141">
                  <c:v>110.32437995812407</c:v>
                </c:pt>
                <c:pt idx="142">
                  <c:v>108.82204164580605</c:v>
                </c:pt>
                <c:pt idx="143">
                  <c:v>107.31846687348968</c:v>
                </c:pt>
                <c:pt idx="144">
                  <c:v>105.81373114945993</c:v>
                </c:pt>
                <c:pt idx="145">
                  <c:v>104.307909461937</c:v>
                </c:pt>
                <c:pt idx="146">
                  <c:v>102.80107626824567</c:v>
                </c:pt>
                <c:pt idx="147">
                  <c:v>101.29330548423208</c:v>
                </c:pt>
                <c:pt idx="148">
                  <c:v>99.784670473929594</c:v>
                </c:pt>
                <c:pt idx="149">
                  <c:v>98.275244039473733</c:v>
                </c:pt>
                <c:pt idx="150">
                  <c:v>96.765098411267999</c:v>
                </c:pt>
                <c:pt idx="151">
                  <c:v>95.254305238400704</c:v>
                </c:pt>
                <c:pt idx="152">
                  <c:v>93.742935579313524</c:v>
                </c:pt>
                <c:pt idx="153">
                  <c:v>92.231059892722328</c:v>
                </c:pt>
                <c:pt idx="154">
                  <c:v>90.718748028790586</c:v>
                </c:pt>
                <c:pt idx="155">
                  <c:v>89.206069220555264</c:v>
                </c:pt>
                <c:pt idx="156">
                  <c:v>85.727447220383183</c:v>
                </c:pt>
                <c:pt idx="157">
                  <c:v>80.282579040034307</c:v>
                </c:pt>
                <c:pt idx="158">
                  <c:v>74.839248996092493</c:v>
                </c:pt>
                <c:pt idx="159">
                  <c:v>69.398001006811583</c:v>
                </c:pt>
                <c:pt idx="160">
                  <c:v>63.959370253715718</c:v>
                </c:pt>
                <c:pt idx="161">
                  <c:v>56.024315063698431</c:v>
                </c:pt>
                <c:pt idx="162">
                  <c:v>45.594771277717101</c:v>
                </c:pt>
                <c:pt idx="163">
                  <c:v>35.413170815473862</c:v>
                </c:pt>
                <c:pt idx="164">
                  <c:v>25.480956743504969</c:v>
                </c:pt>
                <c:pt idx="165">
                  <c:v>17.948983654351096</c:v>
                </c:pt>
                <c:pt idx="166">
                  <c:v>12.81549625133221</c:v>
                </c:pt>
                <c:pt idx="167">
                  <c:v>5.8736731058853433</c:v>
                </c:pt>
                <c:pt idx="168">
                  <c:v>-1.5597358692668006</c:v>
                </c:pt>
                <c:pt idx="169">
                  <c:v>-12.730628345668453</c:v>
                </c:pt>
                <c:pt idx="170">
                  <c:v>-25.003531497988035</c:v>
                </c:pt>
                <c:pt idx="171">
                  <c:v>-29.131914079952502</c:v>
                </c:pt>
                <c:pt idx="172">
                  <c:v>-29.072409106547667</c:v>
                </c:pt>
                <c:pt idx="173">
                  <c:v>-29.013123969108413</c:v>
                </c:pt>
                <c:pt idx="174">
                  <c:v>-28.954057584033045</c:v>
                </c:pt>
                <c:pt idx="175">
                  <c:v>-28.895208874433941</c:v>
                </c:pt>
                <c:pt idx="176">
                  <c:v>-28.836576770087422</c:v>
                </c:pt>
                <c:pt idx="177">
                  <c:v>-28.778160207384044</c:v>
                </c:pt>
                <c:pt idx="178">
                  <c:v>-28.719958129279199</c:v>
                </c:pt>
                <c:pt idx="179">
                  <c:v>-28.661969485244342</c:v>
                </c:pt>
                <c:pt idx="180">
                  <c:v>-28.604193231218485</c:v>
                </c:pt>
                <c:pt idx="181">
                  <c:v>-28.546628329560235</c:v>
                </c:pt>
                <c:pt idx="182">
                  <c:v>-28.489273749000084</c:v>
                </c:pt>
                <c:pt idx="183">
                  <c:v>-28.432128464593301</c:v>
                </c:pt>
                <c:pt idx="184">
                  <c:v>-28.375191457673118</c:v>
                </c:pt>
                <c:pt idx="185">
                  <c:v>-28.318461715804311</c:v>
                </c:pt>
                <c:pt idx="186">
                  <c:v>-28.261938232737222</c:v>
                </c:pt>
                <c:pt idx="187">
                  <c:v>-28.205620008362271</c:v>
                </c:pt>
                <c:pt idx="188">
                  <c:v>-28.149506048664563</c:v>
                </c:pt>
                <c:pt idx="189">
                  <c:v>-28.093595365679285</c:v>
                </c:pt>
                <c:pt idx="190">
                  <c:v>-28.037886977447123</c:v>
                </c:pt>
                <c:pt idx="191">
                  <c:v>-27.982379907970298</c:v>
                </c:pt>
                <c:pt idx="192">
                  <c:v>-27.927073187168922</c:v>
                </c:pt>
                <c:pt idx="193">
                  <c:v>-27.871965850837629</c:v>
                </c:pt>
                <c:pt idx="194">
                  <c:v>-27.81705694060269</c:v>
                </c:pt>
                <c:pt idx="195">
                  <c:v>-27.76234550387948</c:v>
                </c:pt>
                <c:pt idx="196">
                  <c:v>-27.707830593830252</c:v>
                </c:pt>
                <c:pt idx="197">
                  <c:v>-27.653511269322291</c:v>
                </c:pt>
                <c:pt idx="198">
                  <c:v>-27.599386594886461</c:v>
                </c:pt>
                <c:pt idx="199">
                  <c:v>-27.545455640676089</c:v>
                </c:pt>
                <c:pt idx="200">
                  <c:v>-27.491717482426136</c:v>
                </c:pt>
                <c:pt idx="201">
                  <c:v>-27.438171201412786</c:v>
                </c:pt>
                <c:pt idx="202">
                  <c:v>-26.90882646118154</c:v>
                </c:pt>
                <c:pt idx="203">
                  <c:v>-26.398054642582473</c:v>
                </c:pt>
                <c:pt idx="204">
                  <c:v>-25.904994612934274</c:v>
                </c:pt>
                <c:pt idx="205">
                  <c:v>-25.428834944035799</c:v>
                </c:pt>
                <c:pt idx="206">
                  <c:v>-24.968810479237195</c:v>
                </c:pt>
                <c:pt idx="207">
                  <c:v>-24.524199174519239</c:v>
                </c:pt>
                <c:pt idx="208">
                  <c:v>-24.094319188750013</c:v>
                </c:pt>
                <c:pt idx="209">
                  <c:v>-23.678526200794671</c:v>
                </c:pt>
                <c:pt idx="210">
                  <c:v>-23.276210933382821</c:v>
                </c:pt>
                <c:pt idx="211">
                  <c:v>-22.886796865620816</c:v>
                </c:pt>
                <c:pt idx="212">
                  <c:v>-22.509738117803749</c:v>
                </c:pt>
                <c:pt idx="213">
                  <c:v>-22.144517493759366</c:v>
                </c:pt>
                <c:pt idx="214">
                  <c:v>-21.790644667365044</c:v>
                </c:pt>
                <c:pt idx="215">
                  <c:v>-21.447654501140278</c:v>
                </c:pt>
                <c:pt idx="216">
                  <c:v>-21.115105485946554</c:v>
                </c:pt>
                <c:pt idx="217">
                  <c:v>-20.792578291839426</c:v>
                </c:pt>
                <c:pt idx="218">
                  <c:v>-20.479674421027301</c:v>
                </c:pt>
                <c:pt idx="219">
                  <c:v>-20.176014954709483</c:v>
                </c:pt>
                <c:pt idx="220">
                  <c:v>-19.881239386301395</c:v>
                </c:pt>
                <c:pt idx="221">
                  <c:v>-19.595004534218646</c:v>
                </c:pt>
                <c:pt idx="222">
                  <c:v>-19.316983527988889</c:v>
                </c:pt>
                <c:pt idx="223">
                  <c:v>-19.046864862000895</c:v>
                </c:pt>
                <c:pt idx="224">
                  <c:v>-18.784351511687817</c:v>
                </c:pt>
                <c:pt idx="225">
                  <c:v>-18.529160107383007</c:v>
                </c:pt>
                <c:pt idx="226">
                  <c:v>-18.281020161486566</c:v>
                </c:pt>
                <c:pt idx="227">
                  <c:v>-18.03967334494255</c:v>
                </c:pt>
                <c:pt idx="228">
                  <c:v>-17.804872809355636</c:v>
                </c:pt>
                <c:pt idx="229">
                  <c:v>-17.576382551373861</c:v>
                </c:pt>
                <c:pt idx="230">
                  <c:v>-17.353976816235125</c:v>
                </c:pt>
                <c:pt idx="231">
                  <c:v>-17.137439537621241</c:v>
                </c:pt>
                <c:pt idx="232">
                  <c:v>-16.926563811187371</c:v>
                </c:pt>
                <c:pt idx="233">
                  <c:v>-16.721151399338634</c:v>
                </c:pt>
                <c:pt idx="234">
                  <c:v>-16.521012265011237</c:v>
                </c:pt>
                <c:pt idx="235">
                  <c:v>-16.325964132384907</c:v>
                </c:pt>
                <c:pt idx="236">
                  <c:v>-16.135832072607389</c:v>
                </c:pt>
                <c:pt idx="237">
                  <c:v>-15.950448112752575</c:v>
                </c:pt>
                <c:pt idx="238">
                  <c:v>-15.769650866362191</c:v>
                </c:pt>
                <c:pt idx="239">
                  <c:v>-15.593285184037585</c:v>
                </c:pt>
                <c:pt idx="240">
                  <c:v>-15.421201822655192</c:v>
                </c:pt>
                <c:pt idx="241">
                  <c:v>-15.253257131876344</c:v>
                </c:pt>
                <c:pt idx="242">
                  <c:v>-15.089312756710584</c:v>
                </c:pt>
                <c:pt idx="243">
                  <c:v>-14.929235354972498</c:v>
                </c:pt>
                <c:pt idx="244">
                  <c:v>-14.772896328545286</c:v>
                </c:pt>
                <c:pt idx="245">
                  <c:v>-14.620171567430969</c:v>
                </c:pt>
                <c:pt idx="246">
                  <c:v>-14.470941205627391</c:v>
                </c:pt>
                <c:pt idx="247">
                  <c:v>-14.325089387926944</c:v>
                </c:pt>
                <c:pt idx="248">
                  <c:v>-14.182504046780839</c:v>
                </c:pt>
                <c:pt idx="249">
                  <c:v>-14.04307668841699</c:v>
                </c:pt>
                <c:pt idx="250">
                  <c:v>-13.906702187438983</c:v>
                </c:pt>
                <c:pt idx="251">
                  <c:v>-13.773278589168228</c:v>
                </c:pt>
                <c:pt idx="252">
                  <c:v>-13.642706919022217</c:v>
                </c:pt>
                <c:pt idx="253">
                  <c:v>-13.514890998248188</c:v>
                </c:pt>
                <c:pt idx="254">
                  <c:v>-13.389737265354116</c:v>
                </c:pt>
                <c:pt idx="255">
                  <c:v>-13.267154602597792</c:v>
                </c:pt>
                <c:pt idx="256">
                  <c:v>-13.147054166909843</c:v>
                </c:pt>
                <c:pt idx="257">
                  <c:v>-13.029349224638084</c:v>
                </c:pt>
                <c:pt idx="258">
                  <c:v>-12.913954989508412</c:v>
                </c:pt>
                <c:pt idx="259">
                  <c:v>-12.800788463201954</c:v>
                </c:pt>
                <c:pt idx="260">
                  <c:v>-12.68976827794874</c:v>
                </c:pt>
                <c:pt idx="261">
                  <c:v>-12.58081454053546</c:v>
                </c:pt>
                <c:pt idx="262">
                  <c:v>-12.473848677118196</c:v>
                </c:pt>
                <c:pt idx="263">
                  <c:v>-12.368793278220629</c:v>
                </c:pt>
                <c:pt idx="264">
                  <c:v>-12.265571943284023</c:v>
                </c:pt>
                <c:pt idx="265">
                  <c:v>-12.16410912411677</c:v>
                </c:pt>
                <c:pt idx="266">
                  <c:v>-12.064329966568774</c:v>
                </c:pt>
                <c:pt idx="267">
                  <c:v>-11.966160149728813</c:v>
                </c:pt>
                <c:pt idx="268">
                  <c:v>-11.869525721911275</c:v>
                </c:pt>
                <c:pt idx="269">
                  <c:v>-11.774352932661934</c:v>
                </c:pt>
                <c:pt idx="270">
                  <c:v>-11.68056805997055</c:v>
                </c:pt>
                <c:pt idx="271">
                  <c:v>-11.588097231830616</c:v>
                </c:pt>
                <c:pt idx="272">
                  <c:v>-11.496866241233237</c:v>
                </c:pt>
                <c:pt idx="273">
                  <c:v>-11.406800353622842</c:v>
                </c:pt>
                <c:pt idx="274">
                  <c:v>-11.317824105776387</c:v>
                </c:pt>
                <c:pt idx="275">
                  <c:v>-11.229861094995018</c:v>
                </c:pt>
                <c:pt idx="276">
                  <c:v>-11.142833757417353</c:v>
                </c:pt>
                <c:pt idx="277">
                  <c:v>-11.056663134176272</c:v>
                </c:pt>
                <c:pt idx="278">
                  <c:v>-10.971268624026376</c:v>
                </c:pt>
                <c:pt idx="279">
                  <c:v>-10.886567720966777</c:v>
                </c:pt>
                <c:pt idx="280">
                  <c:v>-10.802475735273674</c:v>
                </c:pt>
                <c:pt idx="281">
                  <c:v>-10.718905496239703</c:v>
                </c:pt>
                <c:pt idx="282">
                  <c:v>-10.63576703479243</c:v>
                </c:pt>
                <c:pt idx="283">
                  <c:v>-10.552967244033445</c:v>
                </c:pt>
                <c:pt idx="284">
                  <c:v>-10.470409515604036</c:v>
                </c:pt>
                <c:pt idx="285">
                  <c:v>-10.387993349644248</c:v>
                </c:pt>
                <c:pt idx="286">
                  <c:v>-10.305613935972792</c:v>
                </c:pt>
                <c:pt idx="287">
                  <c:v>-10.22316170397845</c:v>
                </c:pt>
                <c:pt idx="288">
                  <c:v>-10.140521838584645</c:v>
                </c:pt>
                <c:pt idx="289">
                  <c:v>-10.057573759533433</c:v>
                </c:pt>
                <c:pt idx="290">
                  <c:v>-9.9741905611417501</c:v>
                </c:pt>
                <c:pt idx="291">
                  <c:v>-9.8902384096218903</c:v>
                </c:pt>
                <c:pt idx="292">
                  <c:v>-9.8055758950433187</c:v>
                </c:pt>
                <c:pt idx="293">
                  <c:v>-9.720053335061408</c:v>
                </c:pt>
                <c:pt idx="294">
                  <c:v>-9.6335120276726336</c:v>
                </c:pt>
                <c:pt idx="295">
                  <c:v>-9.5457834505025421</c:v>
                </c:pt>
                <c:pt idx="296">
                  <c:v>-9.4566884045270552</c:v>
                </c:pt>
                <c:pt idx="297">
                  <c:v>-9.3660361007125132</c:v>
                </c:pt>
                <c:pt idx="298">
                  <c:v>-9.2736231888879335</c:v>
                </c:pt>
                <c:pt idx="299">
                  <c:v>-9.1792327292997467</c:v>
                </c:pt>
                <c:pt idx="300">
                  <c:v>-9.0826331088235897</c:v>
                </c:pt>
                <c:pt idx="301">
                  <c:v>-8.9835769058155677</c:v>
                </c:pt>
                <c:pt idx="302">
                  <c:v>-8.8817997101909061</c:v>
                </c:pt>
                <c:pt idx="303">
                  <c:v>-8.7770189086564709</c:v>
                </c:pt>
                <c:pt idx="304">
                  <c:v>-8.6689324492535089</c:v>
                </c:pt>
                <c:pt idx="305">
                  <c:v>-8.5572176046689847</c:v>
                </c:pt>
                <c:pt idx="306">
                  <c:v>-8.441529760352914</c:v>
                </c:pt>
                <c:pt idx="307">
                  <c:v>-8.3215012615572341</c:v>
                </c:pt>
                <c:pt idx="308">
                  <c:v>-8.1967403632251958</c:v>
                </c:pt>
                <c:pt idx="309">
                  <c:v>-8.0668303384414823</c:v>
                </c:pt>
                <c:pt idx="310">
                  <c:v>-7.9313288151142007</c:v>
                </c:pt>
                <c:pt idx="311">
                  <c:v>-7.789767426856101</c:v>
                </c:pt>
                <c:pt idx="312">
                  <c:v>-7.6416518827182136</c:v>
                </c:pt>
                <c:pt idx="313">
                  <c:v>-7.4864625813917787</c:v>
                </c:pt>
                <c:pt idx="314">
                  <c:v>-7.3236559183655796</c:v>
                </c:pt>
                <c:pt idx="315">
                  <c:v>-7.1526664585705344</c:v>
                </c:pt>
                <c:pt idx="316">
                  <c:v>-6.9729101710194676</c:v>
                </c:pt>
                <c:pt idx="317">
                  <c:v>-6.7837889439483154</c:v>
                </c:pt>
                <c:pt idx="318">
                  <c:v>-6.5846966162376752</c:v>
                </c:pt>
                <c:pt idx="319">
                  <c:v>-6.3750267696926386</c:v>
                </c:pt>
                <c:pt idx="320">
                  <c:v>-6.1541825222270115</c:v>
                </c:pt>
                <c:pt idx="321">
                  <c:v>-5.921588538164869</c:v>
                </c:pt>
                <c:pt idx="322">
                  <c:v>-5.6767054218418851</c:v>
                </c:pt>
                <c:pt idx="323">
                  <c:v>-5.4190465771132166</c:v>
                </c:pt>
                <c:pt idx="324">
                  <c:v>-5.148197491326</c:v>
                </c:pt>
                <c:pt idx="325">
                  <c:v>-4.8638372326396739</c:v>
                </c:pt>
                <c:pt idx="326">
                  <c:v>-4.5657617327671272</c:v>
                </c:pt>
                <c:pt idx="327">
                  <c:v>-4.2539081676840986</c:v>
                </c:pt>
                <c:pt idx="328">
                  <c:v>-3.9283794593825765</c:v>
                </c:pt>
                <c:pt idx="329">
                  <c:v>-3.5894676254662601</c:v>
                </c:pt>
                <c:pt idx="330">
                  <c:v>-3.2376744346599593</c:v>
                </c:pt>
                <c:pt idx="331">
                  <c:v>-2.8737276294414804</c:v>
                </c:pt>
                <c:pt idx="332">
                  <c:v>-2.4985909020441337</c:v>
                </c:pt>
                <c:pt idx="333">
                  <c:v>-2.1134659051957385</c:v>
                </c:pt>
                <c:pt idx="334">
                  <c:v>-1.7197848799845277</c:v>
                </c:pt>
                <c:pt idx="335">
                  <c:v>-1.3191930019730373</c:v>
                </c:pt>
                <c:pt idx="336">
                  <c:v>-0.91352026089205618</c:v>
                </c:pt>
                <c:pt idx="337">
                  <c:v>-0.50474353791814064</c:v>
                </c:pt>
                <c:pt idx="338">
                  <c:v>-9.4940431406076886E-2</c:v>
                </c:pt>
                <c:pt idx="339">
                  <c:v>0.31376281135478423</c:v>
                </c:pt>
                <c:pt idx="340">
                  <c:v>0.71924629161347564</c:v>
                </c:pt>
                <c:pt idx="341">
                  <c:v>1.1194511093266988</c:v>
                </c:pt>
                <c:pt idx="342">
                  <c:v>1.5124304242139381</c:v>
                </c:pt>
                <c:pt idx="343">
                  <c:v>1.8963940616352479</c:v>
                </c:pt>
                <c:pt idx="344">
                  <c:v>2.2697444531593094</c:v>
                </c:pt>
                <c:pt idx="345">
                  <c:v>2.631102535555395</c:v>
                </c:pt>
                <c:pt idx="346">
                  <c:v>2.9793231224864707</c:v>
                </c:pt>
                <c:pt idx="347">
                  <c:v>3.3135000944883819</c:v>
                </c:pt>
                <c:pt idx="348">
                  <c:v>3.6329624342990532</c:v>
                </c:pt>
                <c:pt idx="349">
                  <c:v>3.9372626124236274</c:v>
                </c:pt>
                <c:pt idx="350">
                  <c:v>4.2261590867786927</c:v>
                </c:pt>
                <c:pt idx="351">
                  <c:v>4.4995947377362109</c:v>
                </c:pt>
                <c:pt idx="352">
                  <c:v>4.7576729552376964</c:v>
                </c:pt>
                <c:pt idx="353">
                  <c:v>5.0006328774771989</c:v>
                </c:pt>
                <c:pt idx="354">
                  <c:v>5.2288250007209527</c:v>
                </c:pt>
                <c:pt idx="355">
                  <c:v>5.4426880800518038</c:v>
                </c:pt>
                <c:pt idx="356">
                  <c:v>5.6427279536139858</c:v>
                </c:pt>
                <c:pt idx="357">
                  <c:v>5.829498669417835</c:v>
                </c:pt>
                <c:pt idx="358">
                  <c:v>6.0035860849414329</c:v>
                </c:pt>
                <c:pt idx="359">
                  <c:v>6.1655939486755074</c:v>
                </c:pt>
                <c:pt idx="360">
                  <c:v>6.3161323569321235</c:v>
                </c:pt>
                <c:pt idx="361">
                  <c:v>6.4558084029479872</c:v>
                </c:pt>
                <c:pt idx="362">
                  <c:v>6.5852187913584661</c:v>
                </c:pt>
                <c:pt idx="363">
                  <c:v>6.7049441720940628</c:v>
                </c:pt>
                <c:pt idx="364">
                  <c:v>6.8155449468402773</c:v>
                </c:pt>
                <c:pt idx="365">
                  <c:v>6.9175583125887208</c:v>
                </c:pt>
                <c:pt idx="366">
                  <c:v>7.0114963258170739</c:v>
                </c:pt>
                <c:pt idx="367">
                  <c:v>7.097844793903394</c:v>
                </c:pt>
                <c:pt idx="368">
                  <c:v>7.1770628249237785</c:v>
                </c:pt>
                <c:pt idx="369">
                  <c:v>7.2495828912330094</c:v>
                </c:pt>
                <c:pt idx="370">
                  <c:v>7.3158112850575723</c:v>
                </c:pt>
                <c:pt idx="371">
                  <c:v>7.3761288650916255</c:v>
                </c:pt>
                <c:pt idx="372">
                  <c:v>7.4308920114773676</c:v>
                </c:pt>
                <c:pt idx="373">
                  <c:v>7.4804337225060138</c:v>
                </c:pt>
                <c:pt idx="374">
                  <c:v>7.5250647999811546</c:v>
                </c:pt>
                <c:pt idx="375">
                  <c:v>7.5650750816204377</c:v>
                </c:pt>
                <c:pt idx="376">
                  <c:v>7.6007346883583793</c:v>
                </c:pt>
                <c:pt idx="377">
                  <c:v>7.6322952621937539</c:v>
                </c:pt>
                <c:pt idx="378">
                  <c:v>7.6599911765376376</c:v>
                </c:pt>
                <c:pt idx="379">
                  <c:v>7.6840407060863685</c:v>
                </c:pt>
                <c:pt idx="380">
                  <c:v>7.7046471472702693</c:v>
                </c:pt>
                <c:pt idx="381">
                  <c:v>7.7219998834931465</c:v>
                </c:pt>
                <c:pt idx="382">
                  <c:v>7.7362753918342442</c:v>
                </c:pt>
                <c:pt idx="383">
                  <c:v>7.7476381897665494</c:v>
                </c:pt>
                <c:pt idx="384">
                  <c:v>7.7562417218636517</c:v>
                </c:pt>
                <c:pt idx="385">
                  <c:v>7.7622291875155671</c:v>
                </c:pt>
                <c:pt idx="386">
                  <c:v>7.7657343114281421</c:v>
                </c:pt>
                <c:pt idx="387">
                  <c:v>7.7668820592038204</c:v>
                </c:pt>
                <c:pt idx="388">
                  <c:v>7.7657893006448138</c:v>
                </c:pt>
                <c:pt idx="389">
                  <c:v>7.7625654236241584</c:v>
                </c:pt>
                <c:pt idx="390">
                  <c:v>7.7573129014688522</c:v>
                </c:pt>
                <c:pt idx="391">
                  <c:v>7.7501278168187442</c:v>
                </c:pt>
                <c:pt idx="392">
                  <c:v>7.7411003448856395</c:v>
                </c:pt>
                <c:pt idx="393">
                  <c:v>7.7303151989560526</c:v>
                </c:pt>
                <c:pt idx="394">
                  <c:v>7.7178520408705804</c:v>
                </c:pt>
                <c:pt idx="395">
                  <c:v>7.7037858590832187</c:v>
                </c:pt>
                <c:pt idx="396">
                  <c:v>7.688187316762499</c:v>
                </c:pt>
                <c:pt idx="397">
                  <c:v>7.6711230722491335</c:v>
                </c:pt>
                <c:pt idx="398">
                  <c:v>7.6526560740358818</c:v>
                </c:pt>
                <c:pt idx="399">
                  <c:v>7.6328458322881527</c:v>
                </c:pt>
                <c:pt idx="400">
                  <c:v>7.6117486687804057</c:v>
                </c:pt>
                <c:pt idx="401">
                  <c:v>7.5894179469856109</c:v>
                </c:pt>
                <c:pt idx="402">
                  <c:v>7.5659042839235031</c:v>
                </c:pt>
                <c:pt idx="403">
                  <c:v>7.5412557452492592</c:v>
                </c:pt>
                <c:pt idx="404">
                  <c:v>7.515518024947462</c:v>
                </c:pt>
                <c:pt idx="405">
                  <c:v>7.4887346108870716</c:v>
                </c:pt>
                <c:pt idx="406">
                  <c:v>7.4609469373915562</c:v>
                </c:pt>
                <c:pt idx="407">
                  <c:v>7.4321945258840509</c:v>
                </c:pt>
                <c:pt idx="408">
                  <c:v>7.4025151145801296</c:v>
                </c:pt>
                <c:pt idx="409">
                  <c:v>7.371944778120354</c:v>
                </c:pt>
                <c:pt idx="410">
                  <c:v>7.340518037960531</c:v>
                </c:pt>
                <c:pt idx="411">
                  <c:v>7.308267964269354</c:v>
                </c:pt>
                <c:pt idx="412">
                  <c:v>7.2752262700205765</c:v>
                </c:pt>
                <c:pt idx="413">
                  <c:v>7.2414233979092755</c:v>
                </c:pt>
                <c:pt idx="414">
                  <c:v>7.206888600669112</c:v>
                </c:pt>
                <c:pt idx="415">
                  <c:v>7.1716500153193046</c:v>
                </c:pt>
                <c:pt idx="416">
                  <c:v>7.1357347318257567</c:v>
                </c:pt>
                <c:pt idx="417">
                  <c:v>7.0991688566205067</c:v>
                </c:pt>
                <c:pt idx="418">
                  <c:v>7.0619775713865973</c:v>
                </c:pt>
                <c:pt idx="419">
                  <c:v>7.024185187481752</c:v>
                </c:pt>
                <c:pt idx="420">
                  <c:v>6.9858151963433244</c:v>
                </c:pt>
                <c:pt idx="421">
                  <c:v>6.9468903161887052</c:v>
                </c:pt>
                <c:pt idx="422">
                  <c:v>6.9074325352996961</c:v>
                </c:pt>
                <c:pt idx="423">
                  <c:v>6.8674631521555298</c:v>
                </c:pt>
                <c:pt idx="424">
                  <c:v>6.8270028126578737</c:v>
                </c:pt>
                <c:pt idx="425">
                  <c:v>6.7860715446712749</c:v>
                </c:pt>
                <c:pt idx="426">
                  <c:v>6.7446887900844912</c:v>
                </c:pt>
                <c:pt idx="427">
                  <c:v>6.7028734345816297</c:v>
                </c:pt>
                <c:pt idx="428">
                  <c:v>6.6606438352969715</c:v>
                </c:pt>
                <c:pt idx="429">
                  <c:v>6.618017846513383</c:v>
                </c:pt>
                <c:pt idx="430">
                  <c:v>6.5750128435517352</c:v>
                </c:pt>
                <c:pt idx="431">
                  <c:v>6.5316457449869514</c:v>
                </c:pt>
                <c:pt idx="432">
                  <c:v>6.487933033315846</c:v>
                </c:pt>
                <c:pt idx="433">
                  <c:v>6.4438907741919937</c:v>
                </c:pt>
                <c:pt idx="434">
                  <c:v>6.3995346343341302</c:v>
                </c:pt>
                <c:pt idx="435">
                  <c:v>6.354879898206149</c:v>
                </c:pt>
                <c:pt idx="436">
                  <c:v>6.3099414835594434</c:v>
                </c:pt>
                <c:pt idx="437">
                  <c:v>6.264733955921252</c:v>
                </c:pt>
                <c:pt idx="438">
                  <c:v>6.219271542106406</c:v>
                </c:pt>
                <c:pt idx="439">
                  <c:v>6.1735681428240543</c:v>
                </c:pt>
                <c:pt idx="440">
                  <c:v>6.1276373444454464</c:v>
                </c:pt>
                <c:pt idx="441">
                  <c:v>6.0814924299940305</c:v>
                </c:pt>
                <c:pt idx="442">
                  <c:v>6.0351463894145319</c:v>
                </c:pt>
                <c:pt idx="443">
                  <c:v>5.9886119291734481</c:v>
                </c:pt>
                <c:pt idx="444">
                  <c:v>5.9419014812395758</c:v>
                </c:pt>
                <c:pt idx="445">
                  <c:v>5.8950272114896105</c:v>
                </c:pt>
                <c:pt idx="446">
                  <c:v>5.8480010275805476</c:v>
                </c:pt>
                <c:pt idx="447">
                  <c:v>5.8008345863276265</c:v>
                </c:pt>
                <c:pt idx="448">
                  <c:v>5.7535393006237001</c:v>
                </c:pt>
                <c:pt idx="449">
                  <c:v>5.7061263459333791</c:v>
                </c:pt>
                <c:pt idx="450">
                  <c:v>5.658606666392858</c:v>
                </c:pt>
                <c:pt idx="451">
                  <c:v>5.6109909805441589</c:v>
                </c:pt>
                <c:pt idx="452">
                  <c:v>5.5632897867304338</c:v>
                </c:pt>
                <c:pt idx="453">
                  <c:v>5.5155133681771291</c:v>
                </c:pt>
                <c:pt idx="454">
                  <c:v>5.4676717977820175</c:v>
                </c:pt>
                <c:pt idx="455">
                  <c:v>5.4197749426354349</c:v>
                </c:pt>
                <c:pt idx="456">
                  <c:v>5.3718324682906999</c:v>
                </c:pt>
                <c:pt idx="457">
                  <c:v>5.3238538428030955</c:v>
                </c:pt>
                <c:pt idx="458">
                  <c:v>5.2758483405546448</c:v>
                </c:pt>
                <c:pt idx="459">
                  <c:v>5.2278250458806381</c:v>
                </c:pt>
                <c:pt idx="460">
                  <c:v>5.1797928565127656</c:v>
                </c:pt>
                <c:pt idx="461">
                  <c:v>5.1317604868526558</c:v>
                </c:pt>
                <c:pt idx="462">
                  <c:v>5.0837364710886845</c:v>
                </c:pt>
                <c:pt idx="463">
                  <c:v>5.0357291661679469</c:v>
                </c:pt>
                <c:pt idx="464">
                  <c:v>4.9877467546345748</c:v>
                </c:pt>
                <c:pt idx="465">
                  <c:v>4.9397972473446305</c:v>
                </c:pt>
                <c:pt idx="466">
                  <c:v>4.8918884860672405</c:v>
                </c:pt>
                <c:pt idx="467">
                  <c:v>4.8440281459808618</c:v>
                </c:pt>
                <c:pt idx="468">
                  <c:v>4.7962237380729809</c:v>
                </c:pt>
                <c:pt idx="469">
                  <c:v>4.7484826114508971</c:v>
                </c:pt>
                <c:pt idx="470">
                  <c:v>4.7008119555708641</c:v>
                </c:pt>
                <c:pt idx="471">
                  <c:v>4.6532188023920673</c:v>
                </c:pt>
                <c:pt idx="472">
                  <c:v>4.6057100284617221</c:v>
                </c:pt>
                <c:pt idx="473">
                  <c:v>4.5582923569369846</c:v>
                </c:pt>
                <c:pt idx="474">
                  <c:v>4.5109723595489442</c:v>
                </c:pt>
                <c:pt idx="475">
                  <c:v>4.4637564585136218</c:v>
                </c:pt>
                <c:pt idx="476">
                  <c:v>4.4166509283945885</c:v>
                </c:pt>
                <c:pt idx="477">
                  <c:v>4.3696618979212767</c:v>
                </c:pt>
                <c:pt idx="478">
                  <c:v>4.3227953517670628</c:v>
                </c:pt>
                <c:pt idx="479">
                  <c:v>4.2760571322905632</c:v>
                </c:pt>
                <c:pt idx="480">
                  <c:v>4.229452941243542</c:v>
                </c:pt>
                <c:pt idx="481">
                  <c:v>4.1829883414484854</c:v>
                </c:pt>
                <c:pt idx="482">
                  <c:v>4.1366687584486641</c:v>
                </c:pt>
                <c:pt idx="483">
                  <c:v>4.090499482133283</c:v>
                </c:pt>
                <c:pt idx="484">
                  <c:v>4.0444856683400774</c:v>
                </c:pt>
                <c:pt idx="485">
                  <c:v>3.9986323404376209</c:v>
                </c:pt>
                <c:pt idx="486">
                  <c:v>3.9529443908892201</c:v>
                </c:pt>
                <c:pt idx="487">
                  <c:v>3.9074265828003965</c:v>
                </c:pt>
                <c:pt idx="488">
                  <c:v>3.8620835514514429</c:v>
                </c:pt>
                <c:pt idx="489">
                  <c:v>3.8169198058167604</c:v>
                </c:pt>
                <c:pt idx="490">
                  <c:v>3.7719397300721926</c:v>
                </c:pt>
                <c:pt idx="491">
                  <c:v>3.7271475850917319</c:v>
                </c:pt>
                <c:pt idx="492">
                  <c:v>3.6825475099346496</c:v>
                </c:pt>
                <c:pt idx="493">
                  <c:v>3.6381435233240831</c:v>
                </c:pt>
                <c:pt idx="494">
                  <c:v>3.5939395251180244</c:v>
                </c:pt>
                <c:pt idx="495">
                  <c:v>3.5499392977734496</c:v>
                </c:pt>
                <c:pt idx="496">
                  <c:v>3.5061465078043348</c:v>
                </c:pt>
                <c:pt idx="497">
                  <c:v>3.4625647072342716</c:v>
                </c:pt>
                <c:pt idx="498">
                  <c:v>3.4191973350440303</c:v>
                </c:pt>
                <c:pt idx="499">
                  <c:v>3.3760477186147817</c:v>
                </c:pt>
                <c:pt idx="500">
                  <c:v>3.3331190751672031</c:v>
                </c:pt>
                <c:pt idx="501">
                  <c:v>3.2904145131969083</c:v>
                </c:pt>
                <c:pt idx="502">
                  <c:v>3.2479370339064371</c:v>
                </c:pt>
                <c:pt idx="503">
                  <c:v>3.2056895326340538</c:v>
                </c:pt>
                <c:pt idx="504">
                  <c:v>3.1636748002795434</c:v>
                </c:pt>
                <c:pt idx="505">
                  <c:v>3.1218955247270745</c:v>
                </c:pt>
                <c:pt idx="506">
                  <c:v>3.0803542922652953</c:v>
                </c:pt>
                <c:pt idx="507">
                  <c:v>3.039053589004669</c:v>
                </c:pt>
                <c:pt idx="508">
                  <c:v>2.9979958022920199</c:v>
                </c:pt>
                <c:pt idx="509">
                  <c:v>2.957183222122354</c:v>
                </c:pt>
                <c:pt idx="510">
                  <c:v>2.9166180425478272</c:v>
                </c:pt>
                <c:pt idx="511">
                  <c:v>2.87630236308381</c:v>
                </c:pt>
                <c:pt idx="512">
                  <c:v>2.836238190111918</c:v>
                </c:pt>
                <c:pt idx="513">
                  <c:v>2.7964274382799204</c:v>
                </c:pt>
                <c:pt idx="514">
                  <c:v>2.7568719318983197</c:v>
                </c:pt>
                <c:pt idx="515">
                  <c:v>2.7175734063334804</c:v>
                </c:pt>
                <c:pt idx="516">
                  <c:v>2.6785335093970666</c:v>
                </c:pt>
                <c:pt idx="517">
                  <c:v>2.639753802731664</c:v>
                </c:pt>
                <c:pt idx="518">
                  <c:v>2.6012357631922773</c:v>
                </c:pt>
                <c:pt idx="519">
                  <c:v>2.5629807842235639</c:v>
                </c:pt>
                <c:pt idx="520">
                  <c:v>2.5249901772324925</c:v>
                </c:pt>
                <c:pt idx="521">
                  <c:v>2.5249525432086131</c:v>
                </c:pt>
                <c:pt idx="522">
                  <c:v>2.5249149094478014</c:v>
                </c:pt>
                <c:pt idx="523">
                  <c:v>2.5248772759500575</c:v>
                </c:pt>
                <c:pt idx="524">
                  <c:v>2.5248396427153805</c:v>
                </c:pt>
                <c:pt idx="525">
                  <c:v>2.5248020097437687</c:v>
                </c:pt>
                <c:pt idx="526">
                  <c:v>2.5247643770352308</c:v>
                </c:pt>
                <c:pt idx="527">
                  <c:v>2.5247267445897625</c:v>
                </c:pt>
                <c:pt idx="528">
                  <c:v>2.5246891124073683</c:v>
                </c:pt>
                <c:pt idx="529">
                  <c:v>2.5246514804880436</c:v>
                </c:pt>
                <c:pt idx="530">
                  <c:v>2.5246138488317929</c:v>
                </c:pt>
                <c:pt idx="531">
                  <c:v>2.5245762174386224</c:v>
                </c:pt>
                <c:pt idx="532">
                  <c:v>2.5245385863085286</c:v>
                </c:pt>
                <c:pt idx="533">
                  <c:v>2.5245009554415114</c:v>
                </c:pt>
                <c:pt idx="534">
                  <c:v>2.5244633248375745</c:v>
                </c:pt>
                <c:pt idx="535">
                  <c:v>2.5244256944967178</c:v>
                </c:pt>
                <c:pt idx="536">
                  <c:v>2.524388064418944</c:v>
                </c:pt>
                <c:pt idx="537">
                  <c:v>2.5243504346042496</c:v>
                </c:pt>
                <c:pt idx="538">
                  <c:v>2.5243128050526398</c:v>
                </c:pt>
                <c:pt idx="539">
                  <c:v>2.5242751757641155</c:v>
                </c:pt>
                <c:pt idx="540">
                  <c:v>2.5242375467386795</c:v>
                </c:pt>
                <c:pt idx="541">
                  <c:v>2.5241999179763264</c:v>
                </c:pt>
                <c:pt idx="542">
                  <c:v>2.5241622894770659</c:v>
                </c:pt>
                <c:pt idx="543">
                  <c:v>2.5241246612408927</c:v>
                </c:pt>
                <c:pt idx="544">
                  <c:v>2.5240870332678105</c:v>
                </c:pt>
                <c:pt idx="545">
                  <c:v>2.52404940555782</c:v>
                </c:pt>
                <c:pt idx="546">
                  <c:v>2.5240117781109266</c:v>
                </c:pt>
                <c:pt idx="547">
                  <c:v>2.5239741509271214</c:v>
                </c:pt>
                <c:pt idx="548">
                  <c:v>2.523936524006416</c:v>
                </c:pt>
                <c:pt idx="549">
                  <c:v>2.5238988973488059</c:v>
                </c:pt>
                <c:pt idx="550">
                  <c:v>2.5238612709542929</c:v>
                </c:pt>
                <c:pt idx="551">
                  <c:v>2.5238236448228752</c:v>
                </c:pt>
                <c:pt idx="552">
                  <c:v>2.5237860189545644</c:v>
                </c:pt>
                <c:pt idx="553">
                  <c:v>2.5237483933493516</c:v>
                </c:pt>
                <c:pt idx="554">
                  <c:v>2.5237107680072413</c:v>
                </c:pt>
                <c:pt idx="555">
                  <c:v>2.5236731429282342</c:v>
                </c:pt>
                <c:pt idx="556">
                  <c:v>2.5236355181123331</c:v>
                </c:pt>
                <c:pt idx="557">
                  <c:v>2.523597893559538</c:v>
                </c:pt>
                <c:pt idx="558">
                  <c:v>2.5235602692698444</c:v>
                </c:pt>
                <c:pt idx="559">
                  <c:v>2.5235226452432622</c:v>
                </c:pt>
                <c:pt idx="560">
                  <c:v>2.5234850214797904</c:v>
                </c:pt>
                <c:pt idx="561">
                  <c:v>2.5234473979794316</c:v>
                </c:pt>
                <c:pt idx="562">
                  <c:v>2.5234097747421806</c:v>
                </c:pt>
                <c:pt idx="563">
                  <c:v>2.5233721517680401</c:v>
                </c:pt>
                <c:pt idx="564">
                  <c:v>2.5233345290570215</c:v>
                </c:pt>
                <c:pt idx="565">
                  <c:v>2.5232969066091115</c:v>
                </c:pt>
                <c:pt idx="566">
                  <c:v>2.5232592844243174</c:v>
                </c:pt>
                <c:pt idx="567">
                  <c:v>2.5232216625026416</c:v>
                </c:pt>
                <c:pt idx="568">
                  <c:v>2.5231840408440869</c:v>
                </c:pt>
                <c:pt idx="569">
                  <c:v>2.5231464194486497</c:v>
                </c:pt>
                <c:pt idx="570">
                  <c:v>2.5231087983163318</c:v>
                </c:pt>
                <c:pt idx="571">
                  <c:v>2.5230711774471359</c:v>
                </c:pt>
                <c:pt idx="572">
                  <c:v>2.5230335568410709</c:v>
                </c:pt>
                <c:pt idx="573">
                  <c:v>2.5229959364981216</c:v>
                </c:pt>
                <c:pt idx="574">
                  <c:v>2.5229583164182987</c:v>
                </c:pt>
                <c:pt idx="575">
                  <c:v>2.5229206966016049</c:v>
                </c:pt>
                <c:pt idx="576">
                  <c:v>2.5228830770480375</c:v>
                </c:pt>
                <c:pt idx="577">
                  <c:v>2.5228454577575992</c:v>
                </c:pt>
                <c:pt idx="578">
                  <c:v>2.5228078387302908</c:v>
                </c:pt>
                <c:pt idx="579">
                  <c:v>2.5227702199661124</c:v>
                </c:pt>
                <c:pt idx="580">
                  <c:v>2.5227326014650666</c:v>
                </c:pt>
                <c:pt idx="581">
                  <c:v>2.5226949832271552</c:v>
                </c:pt>
                <c:pt idx="582">
                  <c:v>2.5226573652523783</c:v>
                </c:pt>
                <c:pt idx="583">
                  <c:v>2.5226197475407384</c:v>
                </c:pt>
                <c:pt idx="584">
                  <c:v>2.5225821300922338</c:v>
                </c:pt>
                <c:pt idx="585">
                  <c:v>2.522544512906868</c:v>
                </c:pt>
                <c:pt idx="586">
                  <c:v>2.5225068959846411</c:v>
                </c:pt>
                <c:pt idx="587">
                  <c:v>2.522469279325553</c:v>
                </c:pt>
                <c:pt idx="588">
                  <c:v>2.5224316629296064</c:v>
                </c:pt>
                <c:pt idx="589">
                  <c:v>2.5223940467968076</c:v>
                </c:pt>
                <c:pt idx="590">
                  <c:v>2.5223564309271458</c:v>
                </c:pt>
                <c:pt idx="591">
                  <c:v>2.5223188153206317</c:v>
                </c:pt>
                <c:pt idx="592">
                  <c:v>2.5222811999772654</c:v>
                </c:pt>
                <c:pt idx="593">
                  <c:v>2.522243584897045</c:v>
                </c:pt>
                <c:pt idx="594">
                  <c:v>2.5222059700799715</c:v>
                </c:pt>
                <c:pt idx="595">
                  <c:v>2.5221683555260483</c:v>
                </c:pt>
                <c:pt idx="596">
                  <c:v>2.5221307412352756</c:v>
                </c:pt>
                <c:pt idx="597">
                  <c:v>2.522093127207655</c:v>
                </c:pt>
                <c:pt idx="598">
                  <c:v>2.5220555134431866</c:v>
                </c:pt>
                <c:pt idx="599">
                  <c:v>2.522017899941873</c:v>
                </c:pt>
                <c:pt idx="600">
                  <c:v>2.5219802867037195</c:v>
                </c:pt>
                <c:pt idx="601">
                  <c:v>2.5219426737287156</c:v>
                </c:pt>
                <c:pt idx="602">
                  <c:v>2.5219050610168692</c:v>
                </c:pt>
                <c:pt idx="603">
                  <c:v>2.5218674485681891</c:v>
                </c:pt>
                <c:pt idx="604">
                  <c:v>2.5218298363826586</c:v>
                </c:pt>
                <c:pt idx="605">
                  <c:v>2.521792224460297</c:v>
                </c:pt>
                <c:pt idx="606">
                  <c:v>2.5217546128010957</c:v>
                </c:pt>
                <c:pt idx="607">
                  <c:v>2.5217170014050563</c:v>
                </c:pt>
                <c:pt idx="608">
                  <c:v>2.5216793902721824</c:v>
                </c:pt>
                <c:pt idx="609">
                  <c:v>2.521641779402473</c:v>
                </c:pt>
                <c:pt idx="610">
                  <c:v>2.5216041687959319</c:v>
                </c:pt>
                <c:pt idx="611">
                  <c:v>2.5215665584525579</c:v>
                </c:pt>
                <c:pt idx="612">
                  <c:v>2.521528948372354</c:v>
                </c:pt>
                <c:pt idx="613">
                  <c:v>2.5214913385553182</c:v>
                </c:pt>
                <c:pt idx="614">
                  <c:v>2.5214537290014558</c:v>
                </c:pt>
                <c:pt idx="615">
                  <c:v>2.521416119710767</c:v>
                </c:pt>
                <c:pt idx="616">
                  <c:v>2.5213785106832489</c:v>
                </c:pt>
                <c:pt idx="617">
                  <c:v>2.521340901918907</c:v>
                </c:pt>
                <c:pt idx="618">
                  <c:v>2.5213032934177386</c:v>
                </c:pt>
                <c:pt idx="619">
                  <c:v>2.521265685179749</c:v>
                </c:pt>
                <c:pt idx="620">
                  <c:v>2.5212280772049409</c:v>
                </c:pt>
                <c:pt idx="621">
                  <c:v>2.5211904694933081</c:v>
                </c:pt>
                <c:pt idx="622">
                  <c:v>2.5211528620448593</c:v>
                </c:pt>
                <c:pt idx="623">
                  <c:v>2.5211152548595903</c:v>
                </c:pt>
                <c:pt idx="624">
                  <c:v>2.5210776479375019</c:v>
                </c:pt>
                <c:pt idx="625">
                  <c:v>2.521040041278602</c:v>
                </c:pt>
                <c:pt idx="626">
                  <c:v>2.5210024348828837</c:v>
                </c:pt>
                <c:pt idx="627">
                  <c:v>2.5209648287503539</c:v>
                </c:pt>
                <c:pt idx="628">
                  <c:v>2.5209272228810127</c:v>
                </c:pt>
                <c:pt idx="629">
                  <c:v>2.5208896172748521</c:v>
                </c:pt>
                <c:pt idx="630">
                  <c:v>2.5208520119318907</c:v>
                </c:pt>
                <c:pt idx="631">
                  <c:v>2.5208144068521188</c:v>
                </c:pt>
                <c:pt idx="632">
                  <c:v>2.5207768020355399</c:v>
                </c:pt>
                <c:pt idx="633">
                  <c:v>2.5207391974821522</c:v>
                </c:pt>
                <c:pt idx="634">
                  <c:v>2.5207015931919576</c:v>
                </c:pt>
                <c:pt idx="635">
                  <c:v>2.5206639891649578</c:v>
                </c:pt>
                <c:pt idx="636">
                  <c:v>2.5206263854011555</c:v>
                </c:pt>
                <c:pt idx="637">
                  <c:v>2.5205887819005515</c:v>
                </c:pt>
                <c:pt idx="638">
                  <c:v>2.5205511786631467</c:v>
                </c:pt>
                <c:pt idx="639">
                  <c:v>2.5205135756889403</c:v>
                </c:pt>
                <c:pt idx="640">
                  <c:v>2.5204759729779376</c:v>
                </c:pt>
                <c:pt idx="641">
                  <c:v>2.5204383705301359</c:v>
                </c:pt>
                <c:pt idx="642">
                  <c:v>2.5204007683455369</c:v>
                </c:pt>
                <c:pt idx="643">
                  <c:v>2.5203631664241417</c:v>
                </c:pt>
                <c:pt idx="644">
                  <c:v>2.5203255647659546</c:v>
                </c:pt>
                <c:pt idx="645">
                  <c:v>2.5202879633709721</c:v>
                </c:pt>
                <c:pt idx="646">
                  <c:v>2.5202503622392021</c:v>
                </c:pt>
                <c:pt idx="647">
                  <c:v>2.5202127613706384</c:v>
                </c:pt>
                <c:pt idx="648">
                  <c:v>2.5201751607652865</c:v>
                </c:pt>
                <c:pt idx="649">
                  <c:v>2.5201375604231435</c:v>
                </c:pt>
                <c:pt idx="650">
                  <c:v>2.5200999603442149</c:v>
                </c:pt>
                <c:pt idx="651">
                  <c:v>2.5200623605285006</c:v>
                </c:pt>
                <c:pt idx="652">
                  <c:v>2.520024760975998</c:v>
                </c:pt>
                <c:pt idx="653">
                  <c:v>2.5199871616867124</c:v>
                </c:pt>
                <c:pt idx="654">
                  <c:v>2.5199495626606447</c:v>
                </c:pt>
                <c:pt idx="655">
                  <c:v>2.5199119638977985</c:v>
                </c:pt>
                <c:pt idx="656">
                  <c:v>2.5198743653981683</c:v>
                </c:pt>
                <c:pt idx="657">
                  <c:v>2.5198367671617641</c:v>
                </c:pt>
                <c:pt idx="658">
                  <c:v>2.519799169188575</c:v>
                </c:pt>
                <c:pt idx="659">
                  <c:v>2.519761571478611</c:v>
                </c:pt>
                <c:pt idx="660">
                  <c:v>2.5197239740318729</c:v>
                </c:pt>
                <c:pt idx="661">
                  <c:v>2.5196863768483571</c:v>
                </c:pt>
                <c:pt idx="662">
                  <c:v>2.5196487799280689</c:v>
                </c:pt>
                <c:pt idx="663">
                  <c:v>2.5196111832710093</c:v>
                </c:pt>
                <c:pt idx="664">
                  <c:v>2.5195735868771783</c:v>
                </c:pt>
                <c:pt idx="665">
                  <c:v>2.5195359907465775</c:v>
                </c:pt>
                <c:pt idx="666">
                  <c:v>2.519498394879208</c:v>
                </c:pt>
                <c:pt idx="667">
                  <c:v>2.5194607992750688</c:v>
                </c:pt>
                <c:pt idx="668">
                  <c:v>2.5194232039341617</c:v>
                </c:pt>
                <c:pt idx="669">
                  <c:v>2.5193856088564912</c:v>
                </c:pt>
                <c:pt idx="670">
                  <c:v>2.5193480140420572</c:v>
                </c:pt>
                <c:pt idx="671">
                  <c:v>2.5193104194908589</c:v>
                </c:pt>
                <c:pt idx="672">
                  <c:v>2.5192728252028962</c:v>
                </c:pt>
                <c:pt idx="673">
                  <c:v>2.5192352311781772</c:v>
                </c:pt>
                <c:pt idx="674">
                  <c:v>2.5191976374166956</c:v>
                </c:pt>
                <c:pt idx="675">
                  <c:v>2.5191600439184505</c:v>
                </c:pt>
                <c:pt idx="676">
                  <c:v>2.5191224506834544</c:v>
                </c:pt>
                <c:pt idx="677">
                  <c:v>2.519084857711702</c:v>
                </c:pt>
                <c:pt idx="678">
                  <c:v>2.519047265003195</c:v>
                </c:pt>
                <c:pt idx="679">
                  <c:v>2.5190096725579298</c:v>
                </c:pt>
                <c:pt idx="680">
                  <c:v>2.5189720803759146</c:v>
                </c:pt>
                <c:pt idx="681">
                  <c:v>2.5189344884571456</c:v>
                </c:pt>
                <c:pt idx="682">
                  <c:v>2.5188968968016283</c:v>
                </c:pt>
                <c:pt idx="683">
                  <c:v>2.51885930540936</c:v>
                </c:pt>
                <c:pt idx="684">
                  <c:v>2.5188217142803397</c:v>
                </c:pt>
                <c:pt idx="685">
                  <c:v>2.5187841234145774</c:v>
                </c:pt>
                <c:pt idx="686">
                  <c:v>2.5187465328120684</c:v>
                </c:pt>
                <c:pt idx="687">
                  <c:v>2.5187089424728146</c:v>
                </c:pt>
                <c:pt idx="688">
                  <c:v>2.5186713523968116</c:v>
                </c:pt>
                <c:pt idx="689">
                  <c:v>2.5186337625840691</c:v>
                </c:pt>
                <c:pt idx="690">
                  <c:v>2.5185961730345863</c:v>
                </c:pt>
                <c:pt idx="691">
                  <c:v>2.5185585837483657</c:v>
                </c:pt>
                <c:pt idx="692">
                  <c:v>2.5185209947253977</c:v>
                </c:pt>
                <c:pt idx="693">
                  <c:v>2.5184834059657</c:v>
                </c:pt>
                <c:pt idx="694">
                  <c:v>2.5184458174692628</c:v>
                </c:pt>
                <c:pt idx="695">
                  <c:v>2.5184082292360888</c:v>
                </c:pt>
                <c:pt idx="696">
                  <c:v>2.5183706412661797</c:v>
                </c:pt>
                <c:pt idx="697">
                  <c:v>2.5183330535595365</c:v>
                </c:pt>
                <c:pt idx="698">
                  <c:v>2.5182954661161627</c:v>
                </c:pt>
                <c:pt idx="699">
                  <c:v>2.5182578789360575</c:v>
                </c:pt>
                <c:pt idx="700">
                  <c:v>2.5182202920192207</c:v>
                </c:pt>
                <c:pt idx="701">
                  <c:v>2.5181827053656578</c:v>
                </c:pt>
                <c:pt idx="702">
                  <c:v>2.5181451189753599</c:v>
                </c:pt>
                <c:pt idx="703">
                  <c:v>2.5181075328483429</c:v>
                </c:pt>
                <c:pt idx="704">
                  <c:v>2.5180699469846006</c:v>
                </c:pt>
                <c:pt idx="705">
                  <c:v>2.5180323613841278</c:v>
                </c:pt>
                <c:pt idx="706">
                  <c:v>2.5179947760469394</c:v>
                </c:pt>
                <c:pt idx="707">
                  <c:v>2.5179571909730241</c:v>
                </c:pt>
                <c:pt idx="708">
                  <c:v>2.5179196061623843</c:v>
                </c:pt>
                <c:pt idx="709">
                  <c:v>2.5178820216150317</c:v>
                </c:pt>
                <c:pt idx="710">
                  <c:v>2.5178444373309539</c:v>
                </c:pt>
                <c:pt idx="711">
                  <c:v>2.5178068533101623</c:v>
                </c:pt>
                <c:pt idx="712">
                  <c:v>2.5177692695526543</c:v>
                </c:pt>
                <c:pt idx="713">
                  <c:v>2.5177316860584309</c:v>
                </c:pt>
                <c:pt idx="714">
                  <c:v>2.5176941028274911</c:v>
                </c:pt>
                <c:pt idx="715">
                  <c:v>2.5176565198598411</c:v>
                </c:pt>
                <c:pt idx="716">
                  <c:v>2.5176189371554774</c:v>
                </c:pt>
                <c:pt idx="717">
                  <c:v>2.5175813547144061</c:v>
                </c:pt>
                <c:pt idx="718">
                  <c:v>2.5175437725366212</c:v>
                </c:pt>
                <c:pt idx="719">
                  <c:v>2.5175061906221323</c:v>
                </c:pt>
                <c:pt idx="720">
                  <c:v>2.5174686089709297</c:v>
                </c:pt>
                <c:pt idx="721">
                  <c:v>2.5174310275830258</c:v>
                </c:pt>
                <c:pt idx="722">
                  <c:v>2.5173934464584189</c:v>
                </c:pt>
                <c:pt idx="723">
                  <c:v>2.5173558655971009</c:v>
                </c:pt>
                <c:pt idx="724">
                  <c:v>2.5173182849990852</c:v>
                </c:pt>
                <c:pt idx="725">
                  <c:v>2.5172807046643655</c:v>
                </c:pt>
                <c:pt idx="726">
                  <c:v>2.5172431245929463</c:v>
                </c:pt>
                <c:pt idx="727">
                  <c:v>2.5172055447848294</c:v>
                </c:pt>
                <c:pt idx="728">
                  <c:v>2.5171679652400156</c:v>
                </c:pt>
                <c:pt idx="729">
                  <c:v>2.5171303859585032</c:v>
                </c:pt>
                <c:pt idx="730">
                  <c:v>2.5170928069402922</c:v>
                </c:pt>
                <c:pt idx="731">
                  <c:v>2.5170552281853871</c:v>
                </c:pt>
                <c:pt idx="732">
                  <c:v>2.5170176496937904</c:v>
                </c:pt>
                <c:pt idx="733">
                  <c:v>2.5169800714655022</c:v>
                </c:pt>
                <c:pt idx="734">
                  <c:v>2.5169424935005171</c:v>
                </c:pt>
                <c:pt idx="735">
                  <c:v>2.5169049157988486</c:v>
                </c:pt>
                <c:pt idx="736">
                  <c:v>2.5168673383604858</c:v>
                </c:pt>
                <c:pt idx="737">
                  <c:v>2.516829761185436</c:v>
                </c:pt>
                <c:pt idx="738">
                  <c:v>2.5167921842737027</c:v>
                </c:pt>
                <c:pt idx="739">
                  <c:v>2.5167546076252831</c:v>
                </c:pt>
                <c:pt idx="740">
                  <c:v>2.5167170312401739</c:v>
                </c:pt>
                <c:pt idx="741">
                  <c:v>2.5166794551183864</c:v>
                </c:pt>
                <c:pt idx="742">
                  <c:v>2.5166418792599172</c:v>
                </c:pt>
                <c:pt idx="743">
                  <c:v>2.5166043036647636</c:v>
                </c:pt>
                <c:pt idx="744">
                  <c:v>2.5165667283329318</c:v>
                </c:pt>
                <c:pt idx="745">
                  <c:v>2.5165291532644201</c:v>
                </c:pt>
                <c:pt idx="746">
                  <c:v>2.5164915784592274</c:v>
                </c:pt>
                <c:pt idx="747">
                  <c:v>2.5164540039173611</c:v>
                </c:pt>
                <c:pt idx="748">
                  <c:v>2.5164164296388201</c:v>
                </c:pt>
                <c:pt idx="749">
                  <c:v>2.5163788556236035</c:v>
                </c:pt>
                <c:pt idx="750">
                  <c:v>2.5163412818717186</c:v>
                </c:pt>
                <c:pt idx="751">
                  <c:v>2.5163037083831528</c:v>
                </c:pt>
                <c:pt idx="752">
                  <c:v>2.5162661351579256</c:v>
                </c:pt>
                <c:pt idx="753">
                  <c:v>2.516228562196023</c:v>
                </c:pt>
                <c:pt idx="754">
                  <c:v>2.5161909894974537</c:v>
                </c:pt>
                <c:pt idx="755">
                  <c:v>2.5161534170622168</c:v>
                </c:pt>
                <c:pt idx="756">
                  <c:v>2.516115844890316</c:v>
                </c:pt>
                <c:pt idx="757">
                  <c:v>2.5160782729817459</c:v>
                </c:pt>
                <c:pt idx="758">
                  <c:v>2.5160407013365118</c:v>
                </c:pt>
                <c:pt idx="759">
                  <c:v>2.5160031299546199</c:v>
                </c:pt>
                <c:pt idx="760">
                  <c:v>2.515965558836065</c:v>
                </c:pt>
                <c:pt idx="761">
                  <c:v>2.5159279879808434</c:v>
                </c:pt>
                <c:pt idx="762">
                  <c:v>2.5158904173889685</c:v>
                </c:pt>
                <c:pt idx="763">
                  <c:v>2.5158528470604304</c:v>
                </c:pt>
                <c:pt idx="764">
                  <c:v>2.5158152769952373</c:v>
                </c:pt>
                <c:pt idx="765">
                  <c:v>2.5157777071933882</c:v>
                </c:pt>
                <c:pt idx="766">
                  <c:v>2.5157401376548876</c:v>
                </c:pt>
                <c:pt idx="767">
                  <c:v>2.5157025683797318</c:v>
                </c:pt>
                <c:pt idx="768">
                  <c:v>2.5156649993679192</c:v>
                </c:pt>
                <c:pt idx="769">
                  <c:v>2.5156274306194595</c:v>
                </c:pt>
                <c:pt idx="770">
                  <c:v>2.5155898621343464</c:v>
                </c:pt>
                <c:pt idx="771">
                  <c:v>2.5155522939125881</c:v>
                </c:pt>
                <c:pt idx="772">
                  <c:v>2.5155147259541746</c:v>
                </c:pt>
                <c:pt idx="773">
                  <c:v>2.5154771582591211</c:v>
                </c:pt>
                <c:pt idx="774">
                  <c:v>2.5154395908274161</c:v>
                </c:pt>
                <c:pt idx="775">
                  <c:v>2.5154020236590693</c:v>
                </c:pt>
                <c:pt idx="776">
                  <c:v>2.515364456754078</c:v>
                </c:pt>
                <c:pt idx="777">
                  <c:v>2.5153268901124486</c:v>
                </c:pt>
                <c:pt idx="778">
                  <c:v>2.5152893237341702</c:v>
                </c:pt>
                <c:pt idx="779">
                  <c:v>2.5152517576192572</c:v>
                </c:pt>
                <c:pt idx="780">
                  <c:v>2.515214191767706</c:v>
                </c:pt>
                <c:pt idx="781">
                  <c:v>2.5151766261795139</c:v>
                </c:pt>
                <c:pt idx="782">
                  <c:v>2.5151390608546871</c:v>
                </c:pt>
                <c:pt idx="783">
                  <c:v>2.5151014957932212</c:v>
                </c:pt>
                <c:pt idx="784">
                  <c:v>2.5150639309951224</c:v>
                </c:pt>
                <c:pt idx="785">
                  <c:v>2.5150263664603898</c:v>
                </c:pt>
                <c:pt idx="786">
                  <c:v>2.514988802189027</c:v>
                </c:pt>
                <c:pt idx="787">
                  <c:v>2.5149512381810268</c:v>
                </c:pt>
                <c:pt idx="788">
                  <c:v>2.5149136744364071</c:v>
                </c:pt>
                <c:pt idx="789">
                  <c:v>2.5148761109551536</c:v>
                </c:pt>
                <c:pt idx="790">
                  <c:v>2.5148385477372752</c:v>
                </c:pt>
                <c:pt idx="791">
                  <c:v>2.514800984782763</c:v>
                </c:pt>
                <c:pt idx="792">
                  <c:v>2.5147634220916304</c:v>
                </c:pt>
                <c:pt idx="793">
                  <c:v>2.5147258596638746</c:v>
                </c:pt>
                <c:pt idx="794">
                  <c:v>2.5146882974994922</c:v>
                </c:pt>
                <c:pt idx="795">
                  <c:v>2.5146507355984875</c:v>
                </c:pt>
                <c:pt idx="796">
                  <c:v>2.5146131739608659</c:v>
                </c:pt>
                <c:pt idx="797">
                  <c:v>2.5145756125866221</c:v>
                </c:pt>
                <c:pt idx="798">
                  <c:v>2.5145380514757596</c:v>
                </c:pt>
                <c:pt idx="799">
                  <c:v>2.5145004906282802</c:v>
                </c:pt>
                <c:pt idx="800">
                  <c:v>2.5144629300441856</c:v>
                </c:pt>
                <c:pt idx="801">
                  <c:v>2.5144253697234742</c:v>
                </c:pt>
                <c:pt idx="802">
                  <c:v>2.5143878096661494</c:v>
                </c:pt>
                <c:pt idx="803">
                  <c:v>2.5143502498722112</c:v>
                </c:pt>
                <c:pt idx="804">
                  <c:v>2.5143126903416633</c:v>
                </c:pt>
                <c:pt idx="805">
                  <c:v>2.5142751310745011</c:v>
                </c:pt>
                <c:pt idx="806">
                  <c:v>2.5142375720707362</c:v>
                </c:pt>
                <c:pt idx="807">
                  <c:v>2.5142000133303535</c:v>
                </c:pt>
                <c:pt idx="808">
                  <c:v>2.5141624548533699</c:v>
                </c:pt>
                <c:pt idx="809">
                  <c:v>2.5141248966397791</c:v>
                </c:pt>
                <c:pt idx="810">
                  <c:v>2.5140873386895821</c:v>
                </c:pt>
                <c:pt idx="811">
                  <c:v>2.514049781002778</c:v>
                </c:pt>
                <c:pt idx="812">
                  <c:v>2.5140122235793774</c:v>
                </c:pt>
                <c:pt idx="813">
                  <c:v>2.5139746664193741</c:v>
                </c:pt>
                <c:pt idx="814">
                  <c:v>2.5139371095227663</c:v>
                </c:pt>
                <c:pt idx="815">
                  <c:v>2.5138995528895656</c:v>
                </c:pt>
                <c:pt idx="816">
                  <c:v>2.5138619965197604</c:v>
                </c:pt>
                <c:pt idx="817">
                  <c:v>2.5138244404133623</c:v>
                </c:pt>
                <c:pt idx="818">
                  <c:v>2.5137868845703641</c:v>
                </c:pt>
                <c:pt idx="819">
                  <c:v>2.513749328990774</c:v>
                </c:pt>
                <c:pt idx="820">
                  <c:v>2.5137117736745882</c:v>
                </c:pt>
                <c:pt idx="821">
                  <c:v>2.5136742186218122</c:v>
                </c:pt>
                <c:pt idx="822">
                  <c:v>2.5136366638324441</c:v>
                </c:pt>
                <c:pt idx="823">
                  <c:v>2.5135991093064867</c:v>
                </c:pt>
                <c:pt idx="824">
                  <c:v>2.5135615550439345</c:v>
                </c:pt>
                <c:pt idx="825">
                  <c:v>2.513524001044801</c:v>
                </c:pt>
                <c:pt idx="826">
                  <c:v>2.5134864473090754</c:v>
                </c:pt>
                <c:pt idx="827">
                  <c:v>2.5134488938367694</c:v>
                </c:pt>
                <c:pt idx="828">
                  <c:v>2.5134113406278757</c:v>
                </c:pt>
                <c:pt idx="829">
                  <c:v>2.5133737876824016</c:v>
                </c:pt>
                <c:pt idx="830">
                  <c:v>2.5133362350003416</c:v>
                </c:pt>
                <c:pt idx="831">
                  <c:v>2.5132986825817047</c:v>
                </c:pt>
                <c:pt idx="832">
                  <c:v>2.5132611304264838</c:v>
                </c:pt>
                <c:pt idx="833">
                  <c:v>2.5132235785346877</c:v>
                </c:pt>
                <c:pt idx="834">
                  <c:v>2.5131860269063084</c:v>
                </c:pt>
                <c:pt idx="835">
                  <c:v>2.5131484755413522</c:v>
                </c:pt>
                <c:pt idx="836">
                  <c:v>2.5131109244398226</c:v>
                </c:pt>
                <c:pt idx="837">
                  <c:v>2.5130733736017197</c:v>
                </c:pt>
                <c:pt idx="838">
                  <c:v>2.5130358230270451</c:v>
                </c:pt>
                <c:pt idx="839">
                  <c:v>2.5129982727157962</c:v>
                </c:pt>
                <c:pt idx="840">
                  <c:v>2.512960722667974</c:v>
                </c:pt>
                <c:pt idx="841">
                  <c:v>2.5129231728835855</c:v>
                </c:pt>
                <c:pt idx="842">
                  <c:v>2.5128856233626298</c:v>
                </c:pt>
                <c:pt idx="843">
                  <c:v>2.5128480741050998</c:v>
                </c:pt>
                <c:pt idx="844">
                  <c:v>2.5128105251110089</c:v>
                </c:pt>
                <c:pt idx="845">
                  <c:v>2.512772976380349</c:v>
                </c:pt>
                <c:pt idx="846">
                  <c:v>2.5127354279131282</c:v>
                </c:pt>
                <c:pt idx="847">
                  <c:v>2.5126978797093429</c:v>
                </c:pt>
                <c:pt idx="848">
                  <c:v>2.5126603317689957</c:v>
                </c:pt>
                <c:pt idx="849">
                  <c:v>2.5126227840920876</c:v>
                </c:pt>
                <c:pt idx="850">
                  <c:v>2.5125852366786212</c:v>
                </c:pt>
                <c:pt idx="851">
                  <c:v>2.5125476895285965</c:v>
                </c:pt>
                <c:pt idx="852">
                  <c:v>2.5125101426420136</c:v>
                </c:pt>
                <c:pt idx="853">
                  <c:v>2.5124725960188723</c:v>
                </c:pt>
                <c:pt idx="854">
                  <c:v>2.5124350496591763</c:v>
                </c:pt>
                <c:pt idx="855">
                  <c:v>2.5123975035629291</c:v>
                </c:pt>
                <c:pt idx="856">
                  <c:v>2.5123599577301237</c:v>
                </c:pt>
                <c:pt idx="857">
                  <c:v>2.5123224121607679</c:v>
                </c:pt>
                <c:pt idx="858">
                  <c:v>2.5122848668548636</c:v>
                </c:pt>
                <c:pt idx="859">
                  <c:v>2.5122473218124117</c:v>
                </c:pt>
                <c:pt idx="860">
                  <c:v>2.5122097770334086</c:v>
                </c:pt>
                <c:pt idx="861">
                  <c:v>2.5121722325178597</c:v>
                </c:pt>
                <c:pt idx="862">
                  <c:v>2.5121346882657623</c:v>
                </c:pt>
                <c:pt idx="863">
                  <c:v>2.5120971442771234</c:v>
                </c:pt>
                <c:pt idx="864">
                  <c:v>2.5120596005519387</c:v>
                </c:pt>
                <c:pt idx="865">
                  <c:v>2.5120220570902116</c:v>
                </c:pt>
                <c:pt idx="866">
                  <c:v>2.511984513891937</c:v>
                </c:pt>
                <c:pt idx="867">
                  <c:v>2.5119469709571316</c:v>
                </c:pt>
                <c:pt idx="868">
                  <c:v>2.5119094282857795</c:v>
                </c:pt>
                <c:pt idx="869">
                  <c:v>2.5118718858778957</c:v>
                </c:pt>
                <c:pt idx="870">
                  <c:v>2.5118343437334678</c:v>
                </c:pt>
                <c:pt idx="871">
                  <c:v>2.511796801852503</c:v>
                </c:pt>
                <c:pt idx="872">
                  <c:v>2.5117592602350118</c:v>
                </c:pt>
                <c:pt idx="873">
                  <c:v>2.5117217188809837</c:v>
                </c:pt>
                <c:pt idx="874">
                  <c:v>2.5116841777904204</c:v>
                </c:pt>
                <c:pt idx="875">
                  <c:v>2.5116466369633272</c:v>
                </c:pt>
                <c:pt idx="876">
                  <c:v>2.5116090963997024</c:v>
                </c:pt>
                <c:pt idx="877">
                  <c:v>2.5115715560995495</c:v>
                </c:pt>
                <c:pt idx="878">
                  <c:v>2.5115340160628694</c:v>
                </c:pt>
                <c:pt idx="879">
                  <c:v>2.5114964762896577</c:v>
                </c:pt>
                <c:pt idx="880">
                  <c:v>2.5114589367799249</c:v>
                </c:pt>
                <c:pt idx="881">
                  <c:v>2.5114213975336668</c:v>
                </c:pt>
                <c:pt idx="882">
                  <c:v>2.5113838585508823</c:v>
                </c:pt>
                <c:pt idx="883">
                  <c:v>2.5113463198315786</c:v>
                </c:pt>
                <c:pt idx="884">
                  <c:v>2.5113087813757513</c:v>
                </c:pt>
                <c:pt idx="885">
                  <c:v>2.5112712431834074</c:v>
                </c:pt>
                <c:pt idx="886">
                  <c:v>2.5112337052545435</c:v>
                </c:pt>
                <c:pt idx="887">
                  <c:v>2.5111961675891585</c:v>
                </c:pt>
                <c:pt idx="888">
                  <c:v>2.5111586301872588</c:v>
                </c:pt>
                <c:pt idx="889">
                  <c:v>2.5111210930488426</c:v>
                </c:pt>
                <c:pt idx="890">
                  <c:v>2.5110835561739115</c:v>
                </c:pt>
                <c:pt idx="891">
                  <c:v>2.5110460195624693</c:v>
                </c:pt>
                <c:pt idx="892">
                  <c:v>2.5110084832145114</c:v>
                </c:pt>
                <c:pt idx="893">
                  <c:v>2.5109709471300405</c:v>
                </c:pt>
                <c:pt idx="894">
                  <c:v>2.5109334113090656</c:v>
                </c:pt>
                <c:pt idx="895">
                  <c:v>2.5108958757515811</c:v>
                </c:pt>
                <c:pt idx="896">
                  <c:v>2.5108583404575882</c:v>
                </c:pt>
                <c:pt idx="897">
                  <c:v>2.5108208054270857</c:v>
                </c:pt>
                <c:pt idx="898">
                  <c:v>2.5107832706600792</c:v>
                </c:pt>
                <c:pt idx="899">
                  <c:v>2.5107457361565659</c:v>
                </c:pt>
                <c:pt idx="900">
                  <c:v>2.5107082019165539</c:v>
                </c:pt>
                <c:pt idx="901">
                  <c:v>2.510670667940035</c:v>
                </c:pt>
                <c:pt idx="902">
                  <c:v>2.5106331342270165</c:v>
                </c:pt>
                <c:pt idx="903">
                  <c:v>2.5105956007774974</c:v>
                </c:pt>
                <c:pt idx="904">
                  <c:v>2.510558067591484</c:v>
                </c:pt>
                <c:pt idx="905">
                  <c:v>2.5105205346689692</c:v>
                </c:pt>
                <c:pt idx="906">
                  <c:v>2.5104830020099591</c:v>
                </c:pt>
                <c:pt idx="907">
                  <c:v>2.5104454696144529</c:v>
                </c:pt>
                <c:pt idx="908">
                  <c:v>2.5104079374824533</c:v>
                </c:pt>
                <c:pt idx="909">
                  <c:v>2.5103704056139575</c:v>
                </c:pt>
                <c:pt idx="910">
                  <c:v>2.5103328740089781</c:v>
                </c:pt>
                <c:pt idx="911">
                  <c:v>2.5102953426674981</c:v>
                </c:pt>
                <c:pt idx="912">
                  <c:v>2.5102578115895362</c:v>
                </c:pt>
                <c:pt idx="913">
                  <c:v>2.5102202807750791</c:v>
                </c:pt>
                <c:pt idx="914">
                  <c:v>2.5101827502241365</c:v>
                </c:pt>
                <c:pt idx="915">
                  <c:v>2.5101452199367111</c:v>
                </c:pt>
                <c:pt idx="916">
                  <c:v>2.5101076899127968</c:v>
                </c:pt>
                <c:pt idx="917">
                  <c:v>2.5100701601523996</c:v>
                </c:pt>
                <c:pt idx="918">
                  <c:v>2.5100326306555187</c:v>
                </c:pt>
                <c:pt idx="919">
                  <c:v>2.5099951014221533</c:v>
                </c:pt>
                <c:pt idx="920">
                  <c:v>2.5099575724523113</c:v>
                </c:pt>
                <c:pt idx="921">
                  <c:v>2.5099200437459892</c:v>
                </c:pt>
                <c:pt idx="922">
                  <c:v>2.5098825153031878</c:v>
                </c:pt>
                <c:pt idx="923">
                  <c:v>2.5098449871239055</c:v>
                </c:pt>
                <c:pt idx="924">
                  <c:v>2.5098074592081554</c:v>
                </c:pt>
                <c:pt idx="925">
                  <c:v>2.509769931555919</c:v>
                </c:pt>
                <c:pt idx="926">
                  <c:v>2.5097324041672175</c:v>
                </c:pt>
                <c:pt idx="927">
                  <c:v>2.5096948770420395</c:v>
                </c:pt>
                <c:pt idx="928">
                  <c:v>2.5096573501803894</c:v>
                </c:pt>
                <c:pt idx="929">
                  <c:v>2.5096198235822689</c:v>
                </c:pt>
                <c:pt idx="930">
                  <c:v>2.5095822972476798</c:v>
                </c:pt>
                <c:pt idx="931">
                  <c:v>2.5095447711766203</c:v>
                </c:pt>
                <c:pt idx="932">
                  <c:v>2.5095072453690976</c:v>
                </c:pt>
                <c:pt idx="933">
                  <c:v>2.5094697198251055</c:v>
                </c:pt>
                <c:pt idx="934">
                  <c:v>2.5094321945446483</c:v>
                </c:pt>
                <c:pt idx="935">
                  <c:v>2.5093946695277287</c:v>
                </c:pt>
                <c:pt idx="936">
                  <c:v>2.5093571447743459</c:v>
                </c:pt>
                <c:pt idx="937">
                  <c:v>2.509319620284499</c:v>
                </c:pt>
                <c:pt idx="938">
                  <c:v>2.5092820960581932</c:v>
                </c:pt>
                <c:pt idx="939">
                  <c:v>2.5092445720954286</c:v>
                </c:pt>
                <c:pt idx="940">
                  <c:v>2.5092070483962052</c:v>
                </c:pt>
                <c:pt idx="941">
                  <c:v>2.5091695249605293</c:v>
                </c:pt>
                <c:pt idx="942">
                  <c:v>2.50913200178839</c:v>
                </c:pt>
                <c:pt idx="943">
                  <c:v>2.5090944788797982</c:v>
                </c:pt>
                <c:pt idx="944">
                  <c:v>2.5090569562347511</c:v>
                </c:pt>
                <c:pt idx="945">
                  <c:v>2.509019433853255</c:v>
                </c:pt>
                <c:pt idx="946">
                  <c:v>2.5089819117353027</c:v>
                </c:pt>
                <c:pt idx="947">
                  <c:v>2.508944389880905</c:v>
                </c:pt>
                <c:pt idx="948">
                  <c:v>2.5089068682900537</c:v>
                </c:pt>
                <c:pt idx="949">
                  <c:v>2.5088693469627605</c:v>
                </c:pt>
                <c:pt idx="950">
                  <c:v>2.5088318258990112</c:v>
                </c:pt>
                <c:pt idx="951">
                  <c:v>2.5087943050988244</c:v>
                </c:pt>
                <c:pt idx="952">
                  <c:v>2.5087567845621885</c:v>
                </c:pt>
                <c:pt idx="953">
                  <c:v>2.5087192642891125</c:v>
                </c:pt>
                <c:pt idx="954">
                  <c:v>2.508681744279591</c:v>
                </c:pt>
                <c:pt idx="955">
                  <c:v>2.5086442245336258</c:v>
                </c:pt>
                <c:pt idx="956">
                  <c:v>2.5086067050512231</c:v>
                </c:pt>
                <c:pt idx="957">
                  <c:v>2.5085691858323802</c:v>
                </c:pt>
                <c:pt idx="958">
                  <c:v>2.5085316668770989</c:v>
                </c:pt>
                <c:pt idx="959">
                  <c:v>2.5084941481853802</c:v>
                </c:pt>
                <c:pt idx="960">
                  <c:v>2.5084566297572284</c:v>
                </c:pt>
                <c:pt idx="961">
                  <c:v>2.5084191115926391</c:v>
                </c:pt>
                <c:pt idx="962">
                  <c:v>2.5083815936916158</c:v>
                </c:pt>
                <c:pt idx="963">
                  <c:v>2.5083440760541622</c:v>
                </c:pt>
                <c:pt idx="964">
                  <c:v>2.5083065586802755</c:v>
                </c:pt>
                <c:pt idx="965">
                  <c:v>2.508269041569962</c:v>
                </c:pt>
                <c:pt idx="966">
                  <c:v>2.5082315247232119</c:v>
                </c:pt>
                <c:pt idx="967">
                  <c:v>2.5081940081400411</c:v>
                </c:pt>
                <c:pt idx="968">
                  <c:v>2.5081564918204418</c:v>
                </c:pt>
                <c:pt idx="969">
                  <c:v>2.5081189757644182</c:v>
                </c:pt>
                <c:pt idx="970">
                  <c:v>2.5080814599719661</c:v>
                </c:pt>
                <c:pt idx="971">
                  <c:v>2.5080439444430951</c:v>
                </c:pt>
                <c:pt idx="972">
                  <c:v>2.5080064291777964</c:v>
                </c:pt>
                <c:pt idx="973">
                  <c:v>2.5079689141760779</c:v>
                </c:pt>
                <c:pt idx="974">
                  <c:v>2.5079313994379389</c:v>
                </c:pt>
                <c:pt idx="975">
                  <c:v>2.5078938849633845</c:v>
                </c:pt>
                <c:pt idx="976">
                  <c:v>2.5078563707524086</c:v>
                </c:pt>
                <c:pt idx="977">
                  <c:v>2.5078188568050193</c:v>
                </c:pt>
                <c:pt idx="978">
                  <c:v>2.507781343121211</c:v>
                </c:pt>
                <c:pt idx="979">
                  <c:v>2.5077438297009911</c:v>
                </c:pt>
                <c:pt idx="980">
                  <c:v>2.5077063165443567</c:v>
                </c:pt>
                <c:pt idx="981">
                  <c:v>2.5076688036513088</c:v>
                </c:pt>
                <c:pt idx="982">
                  <c:v>2.5076312910218519</c:v>
                </c:pt>
                <c:pt idx="983">
                  <c:v>2.5075937786559814</c:v>
                </c:pt>
                <c:pt idx="984">
                  <c:v>2.5075562665537054</c:v>
                </c:pt>
                <c:pt idx="985">
                  <c:v>2.507518754715016</c:v>
                </c:pt>
                <c:pt idx="986">
                  <c:v>2.5074812431399263</c:v>
                </c:pt>
                <c:pt idx="987">
                  <c:v>2.5074437318284293</c:v>
                </c:pt>
                <c:pt idx="988">
                  <c:v>2.5074062207805277</c:v>
                </c:pt>
                <c:pt idx="989">
                  <c:v>2.5073687099962232</c:v>
                </c:pt>
                <c:pt idx="990">
                  <c:v>2.5073311994755123</c:v>
                </c:pt>
                <c:pt idx="991">
                  <c:v>2.5072936892184039</c:v>
                </c:pt>
                <c:pt idx="992">
                  <c:v>2.5072561792248953</c:v>
                </c:pt>
                <c:pt idx="993">
                  <c:v>2.5072186694949865</c:v>
                </c:pt>
                <c:pt idx="994">
                  <c:v>2.5071811600286829</c:v>
                </c:pt>
                <c:pt idx="995">
                  <c:v>2.5071436508259826</c:v>
                </c:pt>
                <c:pt idx="996">
                  <c:v>2.507106141886883</c:v>
                </c:pt>
                <c:pt idx="997">
                  <c:v>2.5070686332113912</c:v>
                </c:pt>
                <c:pt idx="998">
                  <c:v>2.5070311247995063</c:v>
                </c:pt>
                <c:pt idx="999">
                  <c:v>2.5069936166512283</c:v>
                </c:pt>
                <c:pt idx="1000">
                  <c:v>2.5069561087665573</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33.900100000000215</c:v>
                </c:pt>
                <c:pt idx="521">
                  <c:v>33.900200000000218</c:v>
                </c:pt>
                <c:pt idx="522">
                  <c:v>33.900300000000222</c:v>
                </c:pt>
                <c:pt idx="523">
                  <c:v>33.900400000000225</c:v>
                </c:pt>
                <c:pt idx="524">
                  <c:v>33.900500000000228</c:v>
                </c:pt>
                <c:pt idx="525">
                  <c:v>33.900600000000232</c:v>
                </c:pt>
                <c:pt idx="526">
                  <c:v>33.900700000000235</c:v>
                </c:pt>
                <c:pt idx="527">
                  <c:v>33.900800000000238</c:v>
                </c:pt>
                <c:pt idx="528">
                  <c:v>33.900900000000242</c:v>
                </c:pt>
                <c:pt idx="529">
                  <c:v>33.901000000000245</c:v>
                </c:pt>
                <c:pt idx="530">
                  <c:v>33.901100000000248</c:v>
                </c:pt>
                <c:pt idx="531">
                  <c:v>33.901200000000252</c:v>
                </c:pt>
                <c:pt idx="532">
                  <c:v>33.901300000000255</c:v>
                </c:pt>
                <c:pt idx="533">
                  <c:v>33.901400000000258</c:v>
                </c:pt>
                <c:pt idx="534">
                  <c:v>33.901500000000262</c:v>
                </c:pt>
                <c:pt idx="535">
                  <c:v>33.901600000000265</c:v>
                </c:pt>
                <c:pt idx="536">
                  <c:v>33.901700000000268</c:v>
                </c:pt>
                <c:pt idx="537">
                  <c:v>33.901800000000271</c:v>
                </c:pt>
                <c:pt idx="538">
                  <c:v>33.901900000000275</c:v>
                </c:pt>
                <c:pt idx="539">
                  <c:v>33.902000000000278</c:v>
                </c:pt>
                <c:pt idx="540">
                  <c:v>33.902100000000281</c:v>
                </c:pt>
                <c:pt idx="541">
                  <c:v>33.902200000000285</c:v>
                </c:pt>
                <c:pt idx="542">
                  <c:v>33.902300000000288</c:v>
                </c:pt>
                <c:pt idx="543">
                  <c:v>33.902400000000291</c:v>
                </c:pt>
                <c:pt idx="544">
                  <c:v>33.902500000000295</c:v>
                </c:pt>
                <c:pt idx="545">
                  <c:v>33.902600000000298</c:v>
                </c:pt>
                <c:pt idx="546">
                  <c:v>33.902700000000301</c:v>
                </c:pt>
                <c:pt idx="547">
                  <c:v>33.902800000000305</c:v>
                </c:pt>
                <c:pt idx="548">
                  <c:v>33.902900000000308</c:v>
                </c:pt>
                <c:pt idx="549">
                  <c:v>33.903000000000311</c:v>
                </c:pt>
                <c:pt idx="550">
                  <c:v>33.903100000000315</c:v>
                </c:pt>
                <c:pt idx="551">
                  <c:v>33.903200000000318</c:v>
                </c:pt>
                <c:pt idx="552">
                  <c:v>33.903300000000321</c:v>
                </c:pt>
                <c:pt idx="553">
                  <c:v>33.903400000000325</c:v>
                </c:pt>
                <c:pt idx="554">
                  <c:v>33.903500000000328</c:v>
                </c:pt>
                <c:pt idx="555">
                  <c:v>33.903600000000331</c:v>
                </c:pt>
                <c:pt idx="556">
                  <c:v>33.903700000000335</c:v>
                </c:pt>
                <c:pt idx="557">
                  <c:v>33.903800000000338</c:v>
                </c:pt>
                <c:pt idx="558">
                  <c:v>33.903900000000341</c:v>
                </c:pt>
                <c:pt idx="559">
                  <c:v>33.904000000000345</c:v>
                </c:pt>
                <c:pt idx="560">
                  <c:v>33.904100000000348</c:v>
                </c:pt>
                <c:pt idx="561">
                  <c:v>33.904200000000351</c:v>
                </c:pt>
                <c:pt idx="562">
                  <c:v>33.904300000000354</c:v>
                </c:pt>
                <c:pt idx="563">
                  <c:v>33.904400000000358</c:v>
                </c:pt>
                <c:pt idx="564">
                  <c:v>33.904500000000361</c:v>
                </c:pt>
                <c:pt idx="565">
                  <c:v>33.904600000000364</c:v>
                </c:pt>
                <c:pt idx="566">
                  <c:v>33.904700000000368</c:v>
                </c:pt>
                <c:pt idx="567">
                  <c:v>33.904800000000371</c:v>
                </c:pt>
                <c:pt idx="568">
                  <c:v>33.904900000000374</c:v>
                </c:pt>
                <c:pt idx="569">
                  <c:v>33.905000000000378</c:v>
                </c:pt>
                <c:pt idx="570">
                  <c:v>33.905100000000381</c:v>
                </c:pt>
                <c:pt idx="571">
                  <c:v>33.905200000000384</c:v>
                </c:pt>
                <c:pt idx="572">
                  <c:v>33.905300000000388</c:v>
                </c:pt>
                <c:pt idx="573">
                  <c:v>33.905400000000391</c:v>
                </c:pt>
                <c:pt idx="574">
                  <c:v>33.905500000000394</c:v>
                </c:pt>
                <c:pt idx="575">
                  <c:v>33.905600000000398</c:v>
                </c:pt>
                <c:pt idx="576">
                  <c:v>33.905700000000401</c:v>
                </c:pt>
                <c:pt idx="577">
                  <c:v>33.905800000000404</c:v>
                </c:pt>
                <c:pt idx="578">
                  <c:v>33.905900000000408</c:v>
                </c:pt>
                <c:pt idx="579">
                  <c:v>33.906000000000411</c:v>
                </c:pt>
                <c:pt idx="580">
                  <c:v>33.906100000000414</c:v>
                </c:pt>
                <c:pt idx="581">
                  <c:v>33.906200000000418</c:v>
                </c:pt>
                <c:pt idx="582">
                  <c:v>33.906300000000421</c:v>
                </c:pt>
                <c:pt idx="583">
                  <c:v>33.906400000000424</c:v>
                </c:pt>
                <c:pt idx="584">
                  <c:v>33.906500000000428</c:v>
                </c:pt>
                <c:pt idx="585">
                  <c:v>33.906600000000431</c:v>
                </c:pt>
                <c:pt idx="586">
                  <c:v>33.906700000000434</c:v>
                </c:pt>
                <c:pt idx="587">
                  <c:v>33.906800000000437</c:v>
                </c:pt>
                <c:pt idx="588">
                  <c:v>33.906900000000441</c:v>
                </c:pt>
                <c:pt idx="589">
                  <c:v>33.907000000000444</c:v>
                </c:pt>
                <c:pt idx="590">
                  <c:v>33.907100000000447</c:v>
                </c:pt>
                <c:pt idx="591">
                  <c:v>33.907200000000451</c:v>
                </c:pt>
                <c:pt idx="592">
                  <c:v>33.907300000000454</c:v>
                </c:pt>
                <c:pt idx="593">
                  <c:v>33.907400000000457</c:v>
                </c:pt>
                <c:pt idx="594">
                  <c:v>33.907500000000461</c:v>
                </c:pt>
                <c:pt idx="595">
                  <c:v>33.907600000000464</c:v>
                </c:pt>
                <c:pt idx="596">
                  <c:v>33.907700000000467</c:v>
                </c:pt>
                <c:pt idx="597">
                  <c:v>33.907800000000471</c:v>
                </c:pt>
                <c:pt idx="598">
                  <c:v>33.907900000000474</c:v>
                </c:pt>
                <c:pt idx="599">
                  <c:v>33.908000000000477</c:v>
                </c:pt>
                <c:pt idx="600">
                  <c:v>33.908100000000481</c:v>
                </c:pt>
                <c:pt idx="601">
                  <c:v>33.908200000000484</c:v>
                </c:pt>
                <c:pt idx="602">
                  <c:v>33.908300000000487</c:v>
                </c:pt>
                <c:pt idx="603">
                  <c:v>33.908400000000491</c:v>
                </c:pt>
                <c:pt idx="604">
                  <c:v>33.908500000000494</c:v>
                </c:pt>
                <c:pt idx="605">
                  <c:v>33.908600000000497</c:v>
                </c:pt>
                <c:pt idx="606">
                  <c:v>33.908700000000501</c:v>
                </c:pt>
                <c:pt idx="607">
                  <c:v>33.908800000000504</c:v>
                </c:pt>
                <c:pt idx="608">
                  <c:v>33.908900000000507</c:v>
                </c:pt>
                <c:pt idx="609">
                  <c:v>33.909000000000511</c:v>
                </c:pt>
                <c:pt idx="610">
                  <c:v>33.909100000000514</c:v>
                </c:pt>
                <c:pt idx="611">
                  <c:v>33.909200000000517</c:v>
                </c:pt>
                <c:pt idx="612">
                  <c:v>33.90930000000052</c:v>
                </c:pt>
                <c:pt idx="613">
                  <c:v>33.909400000000524</c:v>
                </c:pt>
                <c:pt idx="614">
                  <c:v>33.909500000000527</c:v>
                </c:pt>
                <c:pt idx="615">
                  <c:v>33.90960000000053</c:v>
                </c:pt>
                <c:pt idx="616">
                  <c:v>33.909700000000534</c:v>
                </c:pt>
                <c:pt idx="617">
                  <c:v>33.909800000000537</c:v>
                </c:pt>
                <c:pt idx="618">
                  <c:v>33.90990000000054</c:v>
                </c:pt>
                <c:pt idx="619">
                  <c:v>33.910000000000544</c:v>
                </c:pt>
                <c:pt idx="620">
                  <c:v>33.910100000000547</c:v>
                </c:pt>
                <c:pt idx="621">
                  <c:v>33.91020000000055</c:v>
                </c:pt>
                <c:pt idx="622">
                  <c:v>33.910300000000554</c:v>
                </c:pt>
                <c:pt idx="623">
                  <c:v>33.910400000000557</c:v>
                </c:pt>
                <c:pt idx="624">
                  <c:v>33.91050000000056</c:v>
                </c:pt>
                <c:pt idx="625">
                  <c:v>33.910600000000564</c:v>
                </c:pt>
                <c:pt idx="626">
                  <c:v>33.910700000000567</c:v>
                </c:pt>
                <c:pt idx="627">
                  <c:v>33.91080000000057</c:v>
                </c:pt>
                <c:pt idx="628">
                  <c:v>33.910900000000574</c:v>
                </c:pt>
                <c:pt idx="629">
                  <c:v>33.911000000000577</c:v>
                </c:pt>
                <c:pt idx="630">
                  <c:v>33.91110000000058</c:v>
                </c:pt>
                <c:pt idx="631">
                  <c:v>33.911200000000584</c:v>
                </c:pt>
                <c:pt idx="632">
                  <c:v>33.911300000000587</c:v>
                </c:pt>
                <c:pt idx="633">
                  <c:v>33.91140000000059</c:v>
                </c:pt>
                <c:pt idx="634">
                  <c:v>33.911500000000594</c:v>
                </c:pt>
                <c:pt idx="635">
                  <c:v>33.911600000000597</c:v>
                </c:pt>
                <c:pt idx="636">
                  <c:v>33.9117000000006</c:v>
                </c:pt>
                <c:pt idx="637">
                  <c:v>33.911800000000603</c:v>
                </c:pt>
                <c:pt idx="638">
                  <c:v>33.911900000000607</c:v>
                </c:pt>
                <c:pt idx="639">
                  <c:v>33.91200000000061</c:v>
                </c:pt>
                <c:pt idx="640">
                  <c:v>33.912100000000613</c:v>
                </c:pt>
                <c:pt idx="641">
                  <c:v>33.912200000000617</c:v>
                </c:pt>
                <c:pt idx="642">
                  <c:v>33.91230000000062</c:v>
                </c:pt>
                <c:pt idx="643">
                  <c:v>33.912400000000623</c:v>
                </c:pt>
                <c:pt idx="644">
                  <c:v>33.912500000000627</c:v>
                </c:pt>
                <c:pt idx="645">
                  <c:v>33.91260000000063</c:v>
                </c:pt>
                <c:pt idx="646">
                  <c:v>33.912700000000633</c:v>
                </c:pt>
                <c:pt idx="647">
                  <c:v>33.912800000000637</c:v>
                </c:pt>
                <c:pt idx="648">
                  <c:v>33.91290000000064</c:v>
                </c:pt>
                <c:pt idx="649">
                  <c:v>33.913000000000643</c:v>
                </c:pt>
                <c:pt idx="650">
                  <c:v>33.913100000000647</c:v>
                </c:pt>
                <c:pt idx="651">
                  <c:v>33.91320000000065</c:v>
                </c:pt>
                <c:pt idx="652">
                  <c:v>33.913300000000653</c:v>
                </c:pt>
                <c:pt idx="653">
                  <c:v>33.913400000000657</c:v>
                </c:pt>
                <c:pt idx="654">
                  <c:v>33.91350000000066</c:v>
                </c:pt>
                <c:pt idx="655">
                  <c:v>33.913600000000663</c:v>
                </c:pt>
                <c:pt idx="656">
                  <c:v>33.913700000000667</c:v>
                </c:pt>
                <c:pt idx="657">
                  <c:v>33.91380000000067</c:v>
                </c:pt>
                <c:pt idx="658">
                  <c:v>33.913900000000673</c:v>
                </c:pt>
                <c:pt idx="659">
                  <c:v>33.914000000000676</c:v>
                </c:pt>
                <c:pt idx="660">
                  <c:v>33.91410000000068</c:v>
                </c:pt>
                <c:pt idx="661">
                  <c:v>33.914200000000683</c:v>
                </c:pt>
                <c:pt idx="662">
                  <c:v>33.914300000000686</c:v>
                </c:pt>
                <c:pt idx="663">
                  <c:v>33.91440000000069</c:v>
                </c:pt>
                <c:pt idx="664">
                  <c:v>33.914500000000693</c:v>
                </c:pt>
                <c:pt idx="665">
                  <c:v>33.914600000000696</c:v>
                </c:pt>
                <c:pt idx="666">
                  <c:v>33.9147000000007</c:v>
                </c:pt>
                <c:pt idx="667">
                  <c:v>33.914800000000703</c:v>
                </c:pt>
                <c:pt idx="668">
                  <c:v>33.914900000000706</c:v>
                </c:pt>
                <c:pt idx="669">
                  <c:v>33.91500000000071</c:v>
                </c:pt>
                <c:pt idx="670">
                  <c:v>33.915100000000713</c:v>
                </c:pt>
                <c:pt idx="671">
                  <c:v>33.915200000000716</c:v>
                </c:pt>
                <c:pt idx="672">
                  <c:v>33.91530000000072</c:v>
                </c:pt>
                <c:pt idx="673">
                  <c:v>33.915400000000723</c:v>
                </c:pt>
                <c:pt idx="674">
                  <c:v>33.915500000000726</c:v>
                </c:pt>
                <c:pt idx="675">
                  <c:v>33.91560000000073</c:v>
                </c:pt>
                <c:pt idx="676">
                  <c:v>33.915700000000733</c:v>
                </c:pt>
                <c:pt idx="677">
                  <c:v>33.915800000000736</c:v>
                </c:pt>
                <c:pt idx="678">
                  <c:v>33.91590000000074</c:v>
                </c:pt>
                <c:pt idx="679">
                  <c:v>33.916000000000743</c:v>
                </c:pt>
                <c:pt idx="680">
                  <c:v>33.916100000000746</c:v>
                </c:pt>
                <c:pt idx="681">
                  <c:v>33.91620000000075</c:v>
                </c:pt>
                <c:pt idx="682">
                  <c:v>33.916300000000753</c:v>
                </c:pt>
                <c:pt idx="683">
                  <c:v>33.916400000000756</c:v>
                </c:pt>
                <c:pt idx="684">
                  <c:v>33.916500000000759</c:v>
                </c:pt>
                <c:pt idx="685">
                  <c:v>33.916600000000763</c:v>
                </c:pt>
                <c:pt idx="686">
                  <c:v>33.916700000000766</c:v>
                </c:pt>
                <c:pt idx="687">
                  <c:v>33.916800000000769</c:v>
                </c:pt>
                <c:pt idx="688">
                  <c:v>33.916900000000773</c:v>
                </c:pt>
                <c:pt idx="689">
                  <c:v>33.917000000000776</c:v>
                </c:pt>
                <c:pt idx="690">
                  <c:v>33.917100000000779</c:v>
                </c:pt>
                <c:pt idx="691">
                  <c:v>33.917200000000783</c:v>
                </c:pt>
                <c:pt idx="692">
                  <c:v>33.917300000000786</c:v>
                </c:pt>
                <c:pt idx="693">
                  <c:v>33.917400000000789</c:v>
                </c:pt>
                <c:pt idx="694">
                  <c:v>33.917500000000793</c:v>
                </c:pt>
                <c:pt idx="695">
                  <c:v>33.917600000000796</c:v>
                </c:pt>
                <c:pt idx="696">
                  <c:v>33.917700000000799</c:v>
                </c:pt>
                <c:pt idx="697">
                  <c:v>33.917800000000803</c:v>
                </c:pt>
                <c:pt idx="698">
                  <c:v>33.917900000000806</c:v>
                </c:pt>
                <c:pt idx="699">
                  <c:v>33.918000000000809</c:v>
                </c:pt>
                <c:pt idx="700">
                  <c:v>33.918100000000813</c:v>
                </c:pt>
                <c:pt idx="701">
                  <c:v>33.918200000000816</c:v>
                </c:pt>
                <c:pt idx="702">
                  <c:v>33.918300000000819</c:v>
                </c:pt>
                <c:pt idx="703">
                  <c:v>33.918400000000823</c:v>
                </c:pt>
                <c:pt idx="704">
                  <c:v>33.918500000000826</c:v>
                </c:pt>
                <c:pt idx="705">
                  <c:v>33.918600000000829</c:v>
                </c:pt>
                <c:pt idx="706">
                  <c:v>33.918700000000833</c:v>
                </c:pt>
                <c:pt idx="707">
                  <c:v>33.918800000000836</c:v>
                </c:pt>
                <c:pt idx="708">
                  <c:v>33.918900000000839</c:v>
                </c:pt>
                <c:pt idx="709">
                  <c:v>33.919000000000842</c:v>
                </c:pt>
                <c:pt idx="710">
                  <c:v>33.919100000000846</c:v>
                </c:pt>
                <c:pt idx="711">
                  <c:v>33.919200000000849</c:v>
                </c:pt>
                <c:pt idx="712">
                  <c:v>33.919300000000852</c:v>
                </c:pt>
                <c:pt idx="713">
                  <c:v>33.919400000000856</c:v>
                </c:pt>
                <c:pt idx="714">
                  <c:v>33.919500000000859</c:v>
                </c:pt>
                <c:pt idx="715">
                  <c:v>33.919600000000862</c:v>
                </c:pt>
                <c:pt idx="716">
                  <c:v>33.919700000000866</c:v>
                </c:pt>
                <c:pt idx="717">
                  <c:v>33.919800000000869</c:v>
                </c:pt>
                <c:pt idx="718">
                  <c:v>33.919900000000872</c:v>
                </c:pt>
                <c:pt idx="719">
                  <c:v>33.920000000000876</c:v>
                </c:pt>
                <c:pt idx="720">
                  <c:v>33.920100000000879</c:v>
                </c:pt>
                <c:pt idx="721">
                  <c:v>33.920200000000882</c:v>
                </c:pt>
                <c:pt idx="722">
                  <c:v>33.920300000000886</c:v>
                </c:pt>
                <c:pt idx="723">
                  <c:v>33.920400000000889</c:v>
                </c:pt>
                <c:pt idx="724">
                  <c:v>33.920500000000892</c:v>
                </c:pt>
                <c:pt idx="725">
                  <c:v>33.920600000000896</c:v>
                </c:pt>
                <c:pt idx="726">
                  <c:v>33.920700000000899</c:v>
                </c:pt>
                <c:pt idx="727">
                  <c:v>33.920800000000902</c:v>
                </c:pt>
                <c:pt idx="728">
                  <c:v>33.920900000000906</c:v>
                </c:pt>
                <c:pt idx="729">
                  <c:v>33.921000000000909</c:v>
                </c:pt>
                <c:pt idx="730">
                  <c:v>33.921100000000912</c:v>
                </c:pt>
                <c:pt idx="731">
                  <c:v>33.921200000000916</c:v>
                </c:pt>
                <c:pt idx="732">
                  <c:v>33.921300000000919</c:v>
                </c:pt>
                <c:pt idx="733">
                  <c:v>33.921400000000922</c:v>
                </c:pt>
                <c:pt idx="734">
                  <c:v>33.921500000000925</c:v>
                </c:pt>
                <c:pt idx="735">
                  <c:v>33.921600000000929</c:v>
                </c:pt>
                <c:pt idx="736">
                  <c:v>33.921700000000932</c:v>
                </c:pt>
                <c:pt idx="737">
                  <c:v>33.921800000000935</c:v>
                </c:pt>
                <c:pt idx="738">
                  <c:v>33.921900000000939</c:v>
                </c:pt>
                <c:pt idx="739">
                  <c:v>33.922000000000942</c:v>
                </c:pt>
                <c:pt idx="740">
                  <c:v>33.922100000000945</c:v>
                </c:pt>
                <c:pt idx="741">
                  <c:v>33.922200000000949</c:v>
                </c:pt>
                <c:pt idx="742">
                  <c:v>33.922300000000952</c:v>
                </c:pt>
                <c:pt idx="743">
                  <c:v>33.922400000000955</c:v>
                </c:pt>
                <c:pt idx="744">
                  <c:v>33.922500000000959</c:v>
                </c:pt>
                <c:pt idx="745">
                  <c:v>33.922600000000962</c:v>
                </c:pt>
                <c:pt idx="746">
                  <c:v>33.922700000000965</c:v>
                </c:pt>
                <c:pt idx="747">
                  <c:v>33.922800000000969</c:v>
                </c:pt>
                <c:pt idx="748">
                  <c:v>33.922900000000972</c:v>
                </c:pt>
                <c:pt idx="749">
                  <c:v>33.923000000000975</c:v>
                </c:pt>
                <c:pt idx="750">
                  <c:v>33.923100000000979</c:v>
                </c:pt>
                <c:pt idx="751">
                  <c:v>33.923200000000982</c:v>
                </c:pt>
                <c:pt idx="752">
                  <c:v>33.923300000000985</c:v>
                </c:pt>
                <c:pt idx="753">
                  <c:v>33.923400000000989</c:v>
                </c:pt>
                <c:pt idx="754">
                  <c:v>33.923500000000992</c:v>
                </c:pt>
                <c:pt idx="755">
                  <c:v>33.923600000000995</c:v>
                </c:pt>
                <c:pt idx="756">
                  <c:v>33.923700000000999</c:v>
                </c:pt>
                <c:pt idx="757">
                  <c:v>33.923800000001002</c:v>
                </c:pt>
                <c:pt idx="758">
                  <c:v>33.923900000001005</c:v>
                </c:pt>
                <c:pt idx="759">
                  <c:v>33.924000000001008</c:v>
                </c:pt>
                <c:pt idx="760">
                  <c:v>33.924100000001012</c:v>
                </c:pt>
                <c:pt idx="761">
                  <c:v>33.924200000001015</c:v>
                </c:pt>
                <c:pt idx="762">
                  <c:v>33.924300000001018</c:v>
                </c:pt>
                <c:pt idx="763">
                  <c:v>33.924400000001022</c:v>
                </c:pt>
                <c:pt idx="764">
                  <c:v>33.924500000001025</c:v>
                </c:pt>
                <c:pt idx="765">
                  <c:v>33.924600000001028</c:v>
                </c:pt>
                <c:pt idx="766">
                  <c:v>33.924700000001032</c:v>
                </c:pt>
                <c:pt idx="767">
                  <c:v>33.924800000001035</c:v>
                </c:pt>
                <c:pt idx="768">
                  <c:v>33.924900000001038</c:v>
                </c:pt>
                <c:pt idx="769">
                  <c:v>33.925000000001042</c:v>
                </c:pt>
                <c:pt idx="770">
                  <c:v>33.925100000001045</c:v>
                </c:pt>
                <c:pt idx="771">
                  <c:v>33.925200000001048</c:v>
                </c:pt>
                <c:pt idx="772">
                  <c:v>33.925300000001052</c:v>
                </c:pt>
                <c:pt idx="773">
                  <c:v>33.925400000001055</c:v>
                </c:pt>
                <c:pt idx="774">
                  <c:v>33.925500000001058</c:v>
                </c:pt>
                <c:pt idx="775">
                  <c:v>33.925600000001062</c:v>
                </c:pt>
                <c:pt idx="776">
                  <c:v>33.925700000001065</c:v>
                </c:pt>
                <c:pt idx="777">
                  <c:v>33.925800000001068</c:v>
                </c:pt>
                <c:pt idx="778">
                  <c:v>33.925900000001072</c:v>
                </c:pt>
                <c:pt idx="779">
                  <c:v>33.926000000001075</c:v>
                </c:pt>
                <c:pt idx="780">
                  <c:v>33.926100000001078</c:v>
                </c:pt>
                <c:pt idx="781">
                  <c:v>33.926200000001081</c:v>
                </c:pt>
                <c:pt idx="782">
                  <c:v>33.926300000001085</c:v>
                </c:pt>
                <c:pt idx="783">
                  <c:v>33.926400000001088</c:v>
                </c:pt>
                <c:pt idx="784">
                  <c:v>33.926500000001091</c:v>
                </c:pt>
                <c:pt idx="785">
                  <c:v>33.926600000001095</c:v>
                </c:pt>
                <c:pt idx="786">
                  <c:v>33.926700000001098</c:v>
                </c:pt>
                <c:pt idx="787">
                  <c:v>33.926800000001101</c:v>
                </c:pt>
                <c:pt idx="788">
                  <c:v>33.926900000001105</c:v>
                </c:pt>
                <c:pt idx="789">
                  <c:v>33.927000000001108</c:v>
                </c:pt>
                <c:pt idx="790">
                  <c:v>33.927100000001111</c:v>
                </c:pt>
                <c:pt idx="791">
                  <c:v>33.927200000001115</c:v>
                </c:pt>
                <c:pt idx="792">
                  <c:v>33.927300000001118</c:v>
                </c:pt>
                <c:pt idx="793">
                  <c:v>33.927400000001121</c:v>
                </c:pt>
                <c:pt idx="794">
                  <c:v>33.927500000001125</c:v>
                </c:pt>
                <c:pt idx="795">
                  <c:v>33.927600000001128</c:v>
                </c:pt>
                <c:pt idx="796">
                  <c:v>33.927700000001131</c:v>
                </c:pt>
                <c:pt idx="797">
                  <c:v>33.927800000001135</c:v>
                </c:pt>
                <c:pt idx="798">
                  <c:v>33.927900000001138</c:v>
                </c:pt>
                <c:pt idx="799">
                  <c:v>33.928000000001141</c:v>
                </c:pt>
                <c:pt idx="800">
                  <c:v>33.928100000001145</c:v>
                </c:pt>
                <c:pt idx="801">
                  <c:v>33.928200000001148</c:v>
                </c:pt>
                <c:pt idx="802">
                  <c:v>33.928300000001151</c:v>
                </c:pt>
                <c:pt idx="803">
                  <c:v>33.928400000001155</c:v>
                </c:pt>
                <c:pt idx="804">
                  <c:v>33.928500000001158</c:v>
                </c:pt>
                <c:pt idx="805">
                  <c:v>33.928600000001161</c:v>
                </c:pt>
                <c:pt idx="806">
                  <c:v>33.928700000001164</c:v>
                </c:pt>
                <c:pt idx="807">
                  <c:v>33.928800000001168</c:v>
                </c:pt>
                <c:pt idx="808">
                  <c:v>33.928900000001171</c:v>
                </c:pt>
                <c:pt idx="809">
                  <c:v>33.929000000001174</c:v>
                </c:pt>
                <c:pt idx="810">
                  <c:v>33.929100000001178</c:v>
                </c:pt>
                <c:pt idx="811">
                  <c:v>33.929200000001181</c:v>
                </c:pt>
                <c:pt idx="812">
                  <c:v>33.929300000001184</c:v>
                </c:pt>
                <c:pt idx="813">
                  <c:v>33.929400000001188</c:v>
                </c:pt>
                <c:pt idx="814">
                  <c:v>33.929500000001191</c:v>
                </c:pt>
                <c:pt idx="815">
                  <c:v>33.929600000001194</c:v>
                </c:pt>
                <c:pt idx="816">
                  <c:v>33.929700000001198</c:v>
                </c:pt>
                <c:pt idx="817">
                  <c:v>33.929800000001201</c:v>
                </c:pt>
                <c:pt idx="818">
                  <c:v>33.929900000001204</c:v>
                </c:pt>
                <c:pt idx="819">
                  <c:v>33.930000000001208</c:v>
                </c:pt>
                <c:pt idx="820">
                  <c:v>33.930100000001211</c:v>
                </c:pt>
                <c:pt idx="821">
                  <c:v>33.930200000001214</c:v>
                </c:pt>
                <c:pt idx="822">
                  <c:v>33.930300000001218</c:v>
                </c:pt>
                <c:pt idx="823">
                  <c:v>33.930400000001221</c:v>
                </c:pt>
                <c:pt idx="824">
                  <c:v>33.930500000001224</c:v>
                </c:pt>
                <c:pt idx="825">
                  <c:v>33.930600000001228</c:v>
                </c:pt>
                <c:pt idx="826">
                  <c:v>33.930700000001231</c:v>
                </c:pt>
                <c:pt idx="827">
                  <c:v>33.930800000001234</c:v>
                </c:pt>
                <c:pt idx="828">
                  <c:v>33.930900000001238</c:v>
                </c:pt>
                <c:pt idx="829">
                  <c:v>33.931000000001241</c:v>
                </c:pt>
                <c:pt idx="830">
                  <c:v>33.931100000001244</c:v>
                </c:pt>
                <c:pt idx="831">
                  <c:v>33.931200000001247</c:v>
                </c:pt>
                <c:pt idx="832">
                  <c:v>33.931300000001251</c:v>
                </c:pt>
                <c:pt idx="833">
                  <c:v>33.931400000001254</c:v>
                </c:pt>
                <c:pt idx="834">
                  <c:v>33.931500000001257</c:v>
                </c:pt>
                <c:pt idx="835">
                  <c:v>33.931600000001261</c:v>
                </c:pt>
                <c:pt idx="836">
                  <c:v>33.931700000001264</c:v>
                </c:pt>
                <c:pt idx="837">
                  <c:v>33.931800000001267</c:v>
                </c:pt>
                <c:pt idx="838">
                  <c:v>33.931900000001271</c:v>
                </c:pt>
                <c:pt idx="839">
                  <c:v>33.932000000001274</c:v>
                </c:pt>
                <c:pt idx="840">
                  <c:v>33.932100000001277</c:v>
                </c:pt>
                <c:pt idx="841">
                  <c:v>33.932200000001281</c:v>
                </c:pt>
                <c:pt idx="842">
                  <c:v>33.932300000001284</c:v>
                </c:pt>
                <c:pt idx="843">
                  <c:v>33.932400000001287</c:v>
                </c:pt>
                <c:pt idx="844">
                  <c:v>33.932500000001291</c:v>
                </c:pt>
                <c:pt idx="845">
                  <c:v>33.932600000001294</c:v>
                </c:pt>
                <c:pt idx="846">
                  <c:v>33.932700000001297</c:v>
                </c:pt>
                <c:pt idx="847">
                  <c:v>33.932800000001301</c:v>
                </c:pt>
                <c:pt idx="848">
                  <c:v>33.932900000001304</c:v>
                </c:pt>
                <c:pt idx="849">
                  <c:v>33.933000000001307</c:v>
                </c:pt>
                <c:pt idx="850">
                  <c:v>33.933100000001311</c:v>
                </c:pt>
                <c:pt idx="851">
                  <c:v>33.933200000001314</c:v>
                </c:pt>
                <c:pt idx="852">
                  <c:v>33.933300000001317</c:v>
                </c:pt>
                <c:pt idx="853">
                  <c:v>33.933400000001321</c:v>
                </c:pt>
                <c:pt idx="854">
                  <c:v>33.933500000001324</c:v>
                </c:pt>
                <c:pt idx="855">
                  <c:v>33.933600000001327</c:v>
                </c:pt>
                <c:pt idx="856">
                  <c:v>33.93370000000133</c:v>
                </c:pt>
                <c:pt idx="857">
                  <c:v>33.933800000001334</c:v>
                </c:pt>
                <c:pt idx="858">
                  <c:v>33.933900000001337</c:v>
                </c:pt>
                <c:pt idx="859">
                  <c:v>33.93400000000134</c:v>
                </c:pt>
                <c:pt idx="860">
                  <c:v>33.934100000001344</c:v>
                </c:pt>
                <c:pt idx="861">
                  <c:v>33.934200000001347</c:v>
                </c:pt>
                <c:pt idx="862">
                  <c:v>33.93430000000135</c:v>
                </c:pt>
                <c:pt idx="863">
                  <c:v>33.934400000001354</c:v>
                </c:pt>
                <c:pt idx="864">
                  <c:v>33.934500000001357</c:v>
                </c:pt>
                <c:pt idx="865">
                  <c:v>33.93460000000136</c:v>
                </c:pt>
                <c:pt idx="866">
                  <c:v>33.934700000001364</c:v>
                </c:pt>
                <c:pt idx="867">
                  <c:v>33.934800000001367</c:v>
                </c:pt>
                <c:pt idx="868">
                  <c:v>33.93490000000137</c:v>
                </c:pt>
                <c:pt idx="869">
                  <c:v>33.935000000001374</c:v>
                </c:pt>
                <c:pt idx="870">
                  <c:v>33.935100000001377</c:v>
                </c:pt>
                <c:pt idx="871">
                  <c:v>33.93520000000138</c:v>
                </c:pt>
                <c:pt idx="872">
                  <c:v>33.935300000001384</c:v>
                </c:pt>
                <c:pt idx="873">
                  <c:v>33.935400000001387</c:v>
                </c:pt>
                <c:pt idx="874">
                  <c:v>33.93550000000139</c:v>
                </c:pt>
                <c:pt idx="875">
                  <c:v>33.935600000001394</c:v>
                </c:pt>
                <c:pt idx="876">
                  <c:v>33.935700000001397</c:v>
                </c:pt>
                <c:pt idx="877">
                  <c:v>33.9358000000014</c:v>
                </c:pt>
                <c:pt idx="878">
                  <c:v>33.935900000001403</c:v>
                </c:pt>
                <c:pt idx="879">
                  <c:v>33.936000000001407</c:v>
                </c:pt>
                <c:pt idx="880">
                  <c:v>33.93610000000141</c:v>
                </c:pt>
                <c:pt idx="881">
                  <c:v>33.936200000001413</c:v>
                </c:pt>
                <c:pt idx="882">
                  <c:v>33.936300000001417</c:v>
                </c:pt>
                <c:pt idx="883">
                  <c:v>33.93640000000142</c:v>
                </c:pt>
                <c:pt idx="884">
                  <c:v>33.936500000001423</c:v>
                </c:pt>
                <c:pt idx="885">
                  <c:v>33.936600000001427</c:v>
                </c:pt>
                <c:pt idx="886">
                  <c:v>33.93670000000143</c:v>
                </c:pt>
                <c:pt idx="887">
                  <c:v>33.936800000001433</c:v>
                </c:pt>
                <c:pt idx="888">
                  <c:v>33.936900000001437</c:v>
                </c:pt>
                <c:pt idx="889">
                  <c:v>33.93700000000144</c:v>
                </c:pt>
                <c:pt idx="890">
                  <c:v>33.937100000001443</c:v>
                </c:pt>
                <c:pt idx="891">
                  <c:v>33.937200000001447</c:v>
                </c:pt>
                <c:pt idx="892">
                  <c:v>33.93730000000145</c:v>
                </c:pt>
                <c:pt idx="893">
                  <c:v>33.937400000001453</c:v>
                </c:pt>
                <c:pt idx="894">
                  <c:v>33.937500000001457</c:v>
                </c:pt>
                <c:pt idx="895">
                  <c:v>33.93760000000146</c:v>
                </c:pt>
                <c:pt idx="896">
                  <c:v>33.937700000001463</c:v>
                </c:pt>
                <c:pt idx="897">
                  <c:v>33.937800000001467</c:v>
                </c:pt>
                <c:pt idx="898">
                  <c:v>33.93790000000147</c:v>
                </c:pt>
                <c:pt idx="899">
                  <c:v>33.938000000001473</c:v>
                </c:pt>
                <c:pt idx="900">
                  <c:v>33.938100000001477</c:v>
                </c:pt>
                <c:pt idx="901">
                  <c:v>33.93820000000148</c:v>
                </c:pt>
                <c:pt idx="902">
                  <c:v>33.938300000001483</c:v>
                </c:pt>
                <c:pt idx="903">
                  <c:v>33.938400000001486</c:v>
                </c:pt>
                <c:pt idx="904">
                  <c:v>33.93850000000149</c:v>
                </c:pt>
                <c:pt idx="905">
                  <c:v>33.938600000001493</c:v>
                </c:pt>
                <c:pt idx="906">
                  <c:v>33.938700000001496</c:v>
                </c:pt>
                <c:pt idx="907">
                  <c:v>33.9388000000015</c:v>
                </c:pt>
                <c:pt idx="908">
                  <c:v>33.938900000001503</c:v>
                </c:pt>
                <c:pt idx="909">
                  <c:v>33.939000000001506</c:v>
                </c:pt>
                <c:pt idx="910">
                  <c:v>33.93910000000151</c:v>
                </c:pt>
                <c:pt idx="911">
                  <c:v>33.939200000001513</c:v>
                </c:pt>
                <c:pt idx="912">
                  <c:v>33.939300000001516</c:v>
                </c:pt>
                <c:pt idx="913">
                  <c:v>33.93940000000152</c:v>
                </c:pt>
                <c:pt idx="914">
                  <c:v>33.939500000001523</c:v>
                </c:pt>
                <c:pt idx="915">
                  <c:v>33.939600000001526</c:v>
                </c:pt>
                <c:pt idx="916">
                  <c:v>33.93970000000153</c:v>
                </c:pt>
                <c:pt idx="917">
                  <c:v>33.939800000001533</c:v>
                </c:pt>
                <c:pt idx="918">
                  <c:v>33.939900000001536</c:v>
                </c:pt>
                <c:pt idx="919">
                  <c:v>33.94000000000154</c:v>
                </c:pt>
                <c:pt idx="920">
                  <c:v>33.940100000001543</c:v>
                </c:pt>
                <c:pt idx="921">
                  <c:v>33.940200000001546</c:v>
                </c:pt>
                <c:pt idx="922">
                  <c:v>33.94030000000155</c:v>
                </c:pt>
                <c:pt idx="923">
                  <c:v>33.940400000001553</c:v>
                </c:pt>
                <c:pt idx="924">
                  <c:v>33.940500000001556</c:v>
                </c:pt>
                <c:pt idx="925">
                  <c:v>33.94060000000156</c:v>
                </c:pt>
                <c:pt idx="926">
                  <c:v>33.940700000001563</c:v>
                </c:pt>
                <c:pt idx="927">
                  <c:v>33.940800000001566</c:v>
                </c:pt>
                <c:pt idx="928">
                  <c:v>33.940900000001569</c:v>
                </c:pt>
                <c:pt idx="929">
                  <c:v>33.941000000001573</c:v>
                </c:pt>
                <c:pt idx="930">
                  <c:v>33.941100000001576</c:v>
                </c:pt>
                <c:pt idx="931">
                  <c:v>33.941200000001579</c:v>
                </c:pt>
                <c:pt idx="932">
                  <c:v>33.941300000001583</c:v>
                </c:pt>
                <c:pt idx="933">
                  <c:v>33.941400000001586</c:v>
                </c:pt>
                <c:pt idx="934">
                  <c:v>33.941500000001589</c:v>
                </c:pt>
                <c:pt idx="935">
                  <c:v>33.941600000001593</c:v>
                </c:pt>
                <c:pt idx="936">
                  <c:v>33.941700000001596</c:v>
                </c:pt>
                <c:pt idx="937">
                  <c:v>33.941800000001599</c:v>
                </c:pt>
                <c:pt idx="938">
                  <c:v>33.941900000001603</c:v>
                </c:pt>
                <c:pt idx="939">
                  <c:v>33.942000000001606</c:v>
                </c:pt>
                <c:pt idx="940">
                  <c:v>33.942100000001609</c:v>
                </c:pt>
                <c:pt idx="941">
                  <c:v>33.942200000001613</c:v>
                </c:pt>
                <c:pt idx="942">
                  <c:v>33.942300000001616</c:v>
                </c:pt>
                <c:pt idx="943">
                  <c:v>33.942400000001619</c:v>
                </c:pt>
                <c:pt idx="944">
                  <c:v>33.942500000001623</c:v>
                </c:pt>
                <c:pt idx="945">
                  <c:v>33.942600000001626</c:v>
                </c:pt>
                <c:pt idx="946">
                  <c:v>33.942700000001629</c:v>
                </c:pt>
                <c:pt idx="947">
                  <c:v>33.942800000001633</c:v>
                </c:pt>
                <c:pt idx="948">
                  <c:v>33.942900000001636</c:v>
                </c:pt>
                <c:pt idx="949">
                  <c:v>33.943000000001639</c:v>
                </c:pt>
                <c:pt idx="950">
                  <c:v>33.943100000001643</c:v>
                </c:pt>
                <c:pt idx="951">
                  <c:v>33.943200000001646</c:v>
                </c:pt>
                <c:pt idx="952">
                  <c:v>33.943300000001649</c:v>
                </c:pt>
                <c:pt idx="953">
                  <c:v>33.943400000001652</c:v>
                </c:pt>
                <c:pt idx="954">
                  <c:v>33.943500000001656</c:v>
                </c:pt>
                <c:pt idx="955">
                  <c:v>33.943600000001659</c:v>
                </c:pt>
                <c:pt idx="956">
                  <c:v>33.943700000001662</c:v>
                </c:pt>
                <c:pt idx="957">
                  <c:v>33.943800000001666</c:v>
                </c:pt>
                <c:pt idx="958">
                  <c:v>33.943900000001669</c:v>
                </c:pt>
                <c:pt idx="959">
                  <c:v>33.944000000001672</c:v>
                </c:pt>
                <c:pt idx="960">
                  <c:v>33.944100000001676</c:v>
                </c:pt>
                <c:pt idx="961">
                  <c:v>33.944200000001679</c:v>
                </c:pt>
                <c:pt idx="962">
                  <c:v>33.944300000001682</c:v>
                </c:pt>
                <c:pt idx="963">
                  <c:v>33.944400000001686</c:v>
                </c:pt>
                <c:pt idx="964">
                  <c:v>33.944500000001689</c:v>
                </c:pt>
                <c:pt idx="965">
                  <c:v>33.944600000001692</c:v>
                </c:pt>
                <c:pt idx="966">
                  <c:v>33.944700000001696</c:v>
                </c:pt>
                <c:pt idx="967">
                  <c:v>33.944800000001699</c:v>
                </c:pt>
                <c:pt idx="968">
                  <c:v>33.944900000001702</c:v>
                </c:pt>
                <c:pt idx="969">
                  <c:v>33.945000000001706</c:v>
                </c:pt>
                <c:pt idx="970">
                  <c:v>33.945100000001709</c:v>
                </c:pt>
                <c:pt idx="971">
                  <c:v>33.945200000001712</c:v>
                </c:pt>
                <c:pt idx="972">
                  <c:v>33.945300000001716</c:v>
                </c:pt>
                <c:pt idx="973">
                  <c:v>33.945400000001719</c:v>
                </c:pt>
                <c:pt idx="974">
                  <c:v>33.945500000001722</c:v>
                </c:pt>
                <c:pt idx="975">
                  <c:v>33.945600000001726</c:v>
                </c:pt>
                <c:pt idx="976">
                  <c:v>33.945700000001729</c:v>
                </c:pt>
                <c:pt idx="977">
                  <c:v>33.945800000001732</c:v>
                </c:pt>
                <c:pt idx="978">
                  <c:v>33.945900000001735</c:v>
                </c:pt>
                <c:pt idx="979">
                  <c:v>33.946000000001739</c:v>
                </c:pt>
                <c:pt idx="980">
                  <c:v>33.946100000001742</c:v>
                </c:pt>
                <c:pt idx="981">
                  <c:v>33.946200000001745</c:v>
                </c:pt>
                <c:pt idx="982">
                  <c:v>33.946300000001749</c:v>
                </c:pt>
                <c:pt idx="983">
                  <c:v>33.946400000001752</c:v>
                </c:pt>
                <c:pt idx="984">
                  <c:v>33.946500000001755</c:v>
                </c:pt>
                <c:pt idx="985">
                  <c:v>33.946600000001759</c:v>
                </c:pt>
                <c:pt idx="986">
                  <c:v>33.946700000001762</c:v>
                </c:pt>
                <c:pt idx="987">
                  <c:v>33.946800000001765</c:v>
                </c:pt>
                <c:pt idx="988">
                  <c:v>33.946900000001769</c:v>
                </c:pt>
                <c:pt idx="989">
                  <c:v>33.947000000001772</c:v>
                </c:pt>
                <c:pt idx="990">
                  <c:v>33.947100000001775</c:v>
                </c:pt>
                <c:pt idx="991">
                  <c:v>33.947200000001779</c:v>
                </c:pt>
                <c:pt idx="992">
                  <c:v>33.947300000001782</c:v>
                </c:pt>
                <c:pt idx="993">
                  <c:v>33.947400000001785</c:v>
                </c:pt>
                <c:pt idx="994">
                  <c:v>33.947500000001789</c:v>
                </c:pt>
                <c:pt idx="995">
                  <c:v>33.947600000001792</c:v>
                </c:pt>
                <c:pt idx="996">
                  <c:v>33.947700000001795</c:v>
                </c:pt>
                <c:pt idx="997">
                  <c:v>33.947800000001799</c:v>
                </c:pt>
                <c:pt idx="998">
                  <c:v>33.947900000001802</c:v>
                </c:pt>
                <c:pt idx="999">
                  <c:v>33.948000000001805</c:v>
                </c:pt>
                <c:pt idx="1000">
                  <c:v>33.948100000001808</c:v>
                </c:pt>
              </c:numCache>
            </c:numRef>
          </c:xVal>
          <c:yVal>
            <c:numRef>
              <c:f>Calculs!$AH$4:$AH$1004</c:f>
              <c:numCache>
                <c:formatCode>0.00</c:formatCode>
                <c:ptCount val="1001"/>
                <c:pt idx="0">
                  <c:v>0</c:v>
                </c:pt>
                <c:pt idx="1">
                  <c:v>27.253981917942085</c:v>
                </c:pt>
                <c:pt idx="2">
                  <c:v>103.12792068020556</c:v>
                </c:pt>
                <c:pt idx="3">
                  <c:v>149.36519825319448</c:v>
                </c:pt>
                <c:pt idx="4">
                  <c:v>144.53379953817097</c:v>
                </c:pt>
                <c:pt idx="5">
                  <c:v>139.69065084455835</c:v>
                </c:pt>
                <c:pt idx="6">
                  <c:v>137.79208914189454</c:v>
                </c:pt>
                <c:pt idx="7">
                  <c:v>138.84617315851534</c:v>
                </c:pt>
                <c:pt idx="8">
                  <c:v>139.90090234018555</c:v>
                </c:pt>
                <c:pt idx="9">
                  <c:v>140.9562584548363</c:v>
                </c:pt>
                <c:pt idx="10">
                  <c:v>142.01222294095567</c:v>
                </c:pt>
                <c:pt idx="11">
                  <c:v>142.76197736219802</c:v>
                </c:pt>
                <c:pt idx="12">
                  <c:v>143.20466623065991</c:v>
                </c:pt>
                <c:pt idx="13">
                  <c:v>143.64667144355059</c:v>
                </c:pt>
                <c:pt idx="14">
                  <c:v>144.08797900771219</c:v>
                </c:pt>
                <c:pt idx="15">
                  <c:v>144.52857487986901</c:v>
                </c:pt>
                <c:pt idx="16">
                  <c:v>144.96844496753823</c:v>
                </c:pt>
                <c:pt idx="17">
                  <c:v>145.40757512995543</c:v>
                </c:pt>
                <c:pt idx="18">
                  <c:v>145.84595117901418</c:v>
                </c:pt>
                <c:pt idx="19">
                  <c:v>146.28355888022077</c:v>
                </c:pt>
                <c:pt idx="20">
                  <c:v>146.72038395366306</c:v>
                </c:pt>
                <c:pt idx="21">
                  <c:v>147.03325992755052</c:v>
                </c:pt>
                <c:pt idx="22">
                  <c:v>147.22184243669568</c:v>
                </c:pt>
                <c:pt idx="23">
                  <c:v>147.40912197640196</c:v>
                </c:pt>
                <c:pt idx="24">
                  <c:v>147.59508994391726</c:v>
                </c:pt>
                <c:pt idx="25">
                  <c:v>147.77973777631919</c:v>
                </c:pt>
                <c:pt idx="26">
                  <c:v>147.96305695142308</c:v>
                </c:pt>
                <c:pt idx="27">
                  <c:v>148.14503898869017</c:v>
                </c:pt>
                <c:pt idx="28">
                  <c:v>148.32567532917105</c:v>
                </c:pt>
                <c:pt idx="29">
                  <c:v>148.50495743239463</c:v>
                </c:pt>
                <c:pt idx="30">
                  <c:v>148.68287692645623</c:v>
                </c:pt>
                <c:pt idx="31">
                  <c:v>148.85942548524318</c:v>
                </c:pt>
                <c:pt idx="32">
                  <c:v>149.03459482930541</c:v>
                </c:pt>
                <c:pt idx="33">
                  <c:v>149.20837672672738</c:v>
                </c:pt>
                <c:pt idx="34">
                  <c:v>149.38076299400225</c:v>
                </c:pt>
                <c:pt idx="35">
                  <c:v>149.55174549690855</c:v>
                </c:pt>
                <c:pt idx="36">
                  <c:v>149.72131615138807</c:v>
                </c:pt>
                <c:pt idx="37">
                  <c:v>149.88946692442477</c:v>
                </c:pt>
                <c:pt idx="38">
                  <c:v>150.05618983492477</c:v>
                </c:pt>
                <c:pt idx="39">
                  <c:v>150.22147695459611</c:v>
                </c:pt>
                <c:pt idx="40">
                  <c:v>150.38532040882902</c:v>
                </c:pt>
                <c:pt idx="41">
                  <c:v>150.4517694859492</c:v>
                </c:pt>
                <c:pt idx="42">
                  <c:v>150.42057581677133</c:v>
                </c:pt>
                <c:pt idx="43">
                  <c:v>150.38758126023799</c:v>
                </c:pt>
                <c:pt idx="44">
                  <c:v>150.35278440215674</c:v>
                </c:pt>
                <c:pt idx="45">
                  <c:v>150.3161839305871</c:v>
                </c:pt>
                <c:pt idx="46">
                  <c:v>150.27777863612152</c:v>
                </c:pt>
                <c:pt idx="47">
                  <c:v>150.23756741215479</c:v>
                </c:pt>
                <c:pt idx="48">
                  <c:v>150.19554925514223</c:v>
                </c:pt>
                <c:pt idx="49">
                  <c:v>150.15172326484605</c:v>
                </c:pt>
                <c:pt idx="50">
                  <c:v>150.10608864457029</c:v>
                </c:pt>
                <c:pt idx="51">
                  <c:v>150.05864470138346</c:v>
                </c:pt>
                <c:pt idx="52">
                  <c:v>150.00939084632958</c:v>
                </c:pt>
                <c:pt idx="53">
                  <c:v>149.9583265946267</c:v>
                </c:pt>
                <c:pt idx="54">
                  <c:v>149.90545156585389</c:v>
                </c:pt>
                <c:pt idx="55">
                  <c:v>149.85076548412513</c:v>
                </c:pt>
                <c:pt idx="56">
                  <c:v>149.79426817825151</c:v>
                </c:pt>
                <c:pt idx="57">
                  <c:v>149.73595958189048</c:v>
                </c:pt>
                <c:pt idx="58">
                  <c:v>149.67583973368298</c:v>
                </c:pt>
                <c:pt idx="59">
                  <c:v>149.6139087773775</c:v>
                </c:pt>
                <c:pt idx="60">
                  <c:v>149.55016696194184</c:v>
                </c:pt>
                <c:pt idx="61">
                  <c:v>149.48461464166201</c:v>
                </c:pt>
                <c:pt idx="62">
                  <c:v>149.4172522762282</c:v>
                </c:pt>
                <c:pt idx="63">
                  <c:v>149.34808043080827</c:v>
                </c:pt>
                <c:pt idx="64">
                  <c:v>149.27709977610766</c:v>
                </c:pt>
                <c:pt idx="65">
                  <c:v>149.20431108841723</c:v>
                </c:pt>
                <c:pt idx="66">
                  <c:v>149.12971524964729</c:v>
                </c:pt>
                <c:pt idx="67">
                  <c:v>149.05331324734914</c:v>
                </c:pt>
                <c:pt idx="68">
                  <c:v>148.97510617472341</c:v>
                </c:pt>
                <c:pt idx="69">
                  <c:v>148.89509523061531</c:v>
                </c:pt>
                <c:pt idx="70">
                  <c:v>148.81328171949653</c:v>
                </c:pt>
                <c:pt idx="71">
                  <c:v>148.72966705143443</c:v>
                </c:pt>
                <c:pt idx="72">
                  <c:v>148.64425274204788</c:v>
                </c:pt>
                <c:pt idx="73">
                  <c:v>148.55704041244971</c:v>
                </c:pt>
                <c:pt idx="74">
                  <c:v>148.46803178917634</c:v>
                </c:pt>
                <c:pt idx="75">
                  <c:v>148.37722870410408</c:v>
                </c:pt>
                <c:pt idx="76">
                  <c:v>148.28463309435213</c:v>
                </c:pt>
                <c:pt idx="77">
                  <c:v>148.19024700217247</c:v>
                </c:pt>
                <c:pt idx="78">
                  <c:v>148.09407257482661</c:v>
                </c:pt>
                <c:pt idx="79">
                  <c:v>147.99611206444902</c:v>
                </c:pt>
                <c:pt idx="80">
                  <c:v>147.89636782789756</c:v>
                </c:pt>
                <c:pt idx="81">
                  <c:v>147.69713001091048</c:v>
                </c:pt>
                <c:pt idx="82">
                  <c:v>147.39820623941756</c:v>
                </c:pt>
                <c:pt idx="83">
                  <c:v>147.09726856347933</c:v>
                </c:pt>
                <c:pt idx="84">
                  <c:v>146.79432769871576</c:v>
                </c:pt>
                <c:pt idx="85">
                  <c:v>146.48939447651256</c:v>
                </c:pt>
                <c:pt idx="86">
                  <c:v>146.1824798427154</c:v>
                </c:pt>
                <c:pt idx="87">
                  <c:v>145.87359485631035</c:v>
                </c:pt>
                <c:pt idx="88">
                  <c:v>145.56275068808975</c:v>
                </c:pt>
                <c:pt idx="89">
                  <c:v>145.24995861930498</c:v>
                </c:pt>
                <c:pt idx="90">
                  <c:v>144.93523004030533</c:v>
                </c:pt>
                <c:pt idx="91">
                  <c:v>144.57536961896739</c:v>
                </c:pt>
                <c:pt idx="92">
                  <c:v>144.17031028992406</c:v>
                </c:pt>
                <c:pt idx="93">
                  <c:v>143.76325855763176</c:v>
                </c:pt>
                <c:pt idx="94">
                  <c:v>143.3542300951662</c:v>
                </c:pt>
                <c:pt idx="95">
                  <c:v>142.94324067481151</c:v>
                </c:pt>
                <c:pt idx="96">
                  <c:v>142.53030616604994</c:v>
                </c:pt>
                <c:pt idx="97">
                  <c:v>142.11544253354253</c:v>
                </c:pt>
                <c:pt idx="98">
                  <c:v>141.69866583510122</c:v>
                </c:pt>
                <c:pt idx="99">
                  <c:v>141.27999221965285</c:v>
                </c:pt>
                <c:pt idx="100">
                  <c:v>140.85943792519552</c:v>
                </c:pt>
                <c:pt idx="101">
                  <c:v>140.43010292849982</c:v>
                </c:pt>
                <c:pt idx="102">
                  <c:v>139.99199233966834</c:v>
                </c:pt>
                <c:pt idx="103">
                  <c:v>139.55203819610341</c:v>
                </c:pt>
                <c:pt idx="104">
                  <c:v>139.11025770411482</c:v>
                </c:pt>
                <c:pt idx="105">
                  <c:v>138.66666814746355</c:v>
                </c:pt>
                <c:pt idx="106">
                  <c:v>138.22128688518697</c:v>
                </c:pt>
                <c:pt idx="107">
                  <c:v>137.77413134942037</c:v>
                </c:pt>
                <c:pt idx="108">
                  <c:v>137.32521904321507</c:v>
                </c:pt>
                <c:pt idx="109">
                  <c:v>136.87456753835374</c:v>
                </c:pt>
                <c:pt idx="110">
                  <c:v>136.42219447316336</c:v>
                </c:pt>
                <c:pt idx="111">
                  <c:v>136.04781085061822</c:v>
                </c:pt>
                <c:pt idx="112">
                  <c:v>135.75155002651834</c:v>
                </c:pt>
                <c:pt idx="113">
                  <c:v>135.45373350634821</c:v>
                </c:pt>
                <c:pt idx="114">
                  <c:v>135.15437231099611</c:v>
                </c:pt>
                <c:pt idx="115">
                  <c:v>134.85347753248709</c:v>
                </c:pt>
                <c:pt idx="116">
                  <c:v>134.55106033274214</c:v>
                </c:pt>
                <c:pt idx="117">
                  <c:v>134.24713194233149</c:v>
                </c:pt>
                <c:pt idx="118">
                  <c:v>133.94170365922227</c:v>
                </c:pt>
                <c:pt idx="119">
                  <c:v>133.63478684752042</c:v>
                </c:pt>
                <c:pt idx="120">
                  <c:v>133.32639293620778</c:v>
                </c:pt>
                <c:pt idx="121">
                  <c:v>132.88425300150956</c:v>
                </c:pt>
                <c:pt idx="122">
                  <c:v>132.30820747442866</c:v>
                </c:pt>
                <c:pt idx="123">
                  <c:v>131.73057264279555</c:v>
                </c:pt>
                <c:pt idx="124">
                  <c:v>131.15137187991482</c:v>
                </c:pt>
                <c:pt idx="125">
                  <c:v>130.57062857693191</c:v>
                </c:pt>
                <c:pt idx="126">
                  <c:v>129.98836613992012</c:v>
                </c:pt>
                <c:pt idx="127">
                  <c:v>129.40460798698118</c:v>
                </c:pt>
                <c:pt idx="128">
                  <c:v>128.81937754535898</c:v>
                </c:pt>
                <c:pt idx="129">
                  <c:v>128.23269824856703</c:v>
                </c:pt>
                <c:pt idx="130">
                  <c:v>127.64459353353122</c:v>
                </c:pt>
                <c:pt idx="131">
                  <c:v>127.02043003725267</c:v>
                </c:pt>
                <c:pt idx="132">
                  <c:v>126.36019371510005</c:v>
                </c:pt>
                <c:pt idx="133">
                  <c:v>125.69857723144148</c:v>
                </c:pt>
                <c:pt idx="134">
                  <c:v>125.0356073274053</c:v>
                </c:pt>
                <c:pt idx="135">
                  <c:v>124.37131071438915</c:v>
                </c:pt>
                <c:pt idx="136">
                  <c:v>123.70571407082944</c:v>
                </c:pt>
                <c:pt idx="137">
                  <c:v>123.03884403899777</c:v>
                </c:pt>
                <c:pt idx="138">
                  <c:v>122.37072722182286</c:v>
                </c:pt>
                <c:pt idx="139">
                  <c:v>121.70139017974007</c:v>
                </c:pt>
                <c:pt idx="140">
                  <c:v>121.03085942756825</c:v>
                </c:pt>
                <c:pt idx="141">
                  <c:v>119.94448787430625</c:v>
                </c:pt>
                <c:pt idx="142">
                  <c:v>118.44195100947991</c:v>
                </c:pt>
                <c:pt idx="143">
                  <c:v>116.93817863625559</c:v>
                </c:pt>
                <c:pt idx="144">
                  <c:v>115.43324623715057</c:v>
                </c:pt>
                <c:pt idx="145">
                  <c:v>113.92722877523883</c:v>
                </c:pt>
                <c:pt idx="146">
                  <c:v>112.42020068329603</c:v>
                </c:pt>
                <c:pt idx="147">
                  <c:v>110.91223585319328</c:v>
                </c:pt>
                <c:pt idx="148">
                  <c:v>109.40340762554072</c:v>
                </c:pt>
                <c:pt idx="149">
                  <c:v>107.89378877958136</c:v>
                </c:pt>
                <c:pt idx="150">
                  <c:v>106.38345152333652</c:v>
                </c:pt>
                <c:pt idx="151">
                  <c:v>104.87246748400334</c:v>
                </c:pt>
                <c:pt idx="152">
                  <c:v>103.36090769860472</c:v>
                </c:pt>
                <c:pt idx="153">
                  <c:v>101.84884260489227</c:v>
                </c:pt>
                <c:pt idx="154">
                  <c:v>100.3363420325027</c:v>
                </c:pt>
                <c:pt idx="155">
                  <c:v>98.823475194367276</c:v>
                </c:pt>
                <c:pt idx="156">
                  <c:v>95.344665823152454</c:v>
                </c:pt>
                <c:pt idx="157">
                  <c:v>89.899610893005715</c:v>
                </c:pt>
                <c:pt idx="158">
                  <c:v>84.456094665485125</c:v>
                </c:pt>
                <c:pt idx="159">
                  <c:v>79.014661004893881</c:v>
                </c:pt>
                <c:pt idx="160">
                  <c:v>73.575845039783104</c:v>
                </c:pt>
                <c:pt idx="161">
                  <c:v>65.640605044957667</c:v>
                </c:pt>
                <c:pt idx="162">
                  <c:v>55.210876787480089</c:v>
                </c:pt>
                <c:pt idx="163">
                  <c:v>45.029092091607758</c:v>
                </c:pt>
                <c:pt idx="164">
                  <c:v>35.096693931572148</c:v>
                </c:pt>
                <c:pt idx="165">
                  <c:v>27.564536810455799</c:v>
                </c:pt>
                <c:pt idx="166">
                  <c:v>22.43086536397783</c:v>
                </c:pt>
                <c:pt idx="167">
                  <c:v>15.488858117579747</c:v>
                </c:pt>
                <c:pt idx="168">
                  <c:v>8.0552649217731478</c:v>
                </c:pt>
                <c:pt idx="169">
                  <c:v>-3.1158119617366995</c:v>
                </c:pt>
                <c:pt idx="170">
                  <c:v>-15.388899808269613</c:v>
                </c:pt>
                <c:pt idx="171">
                  <c:v>-19.51746748290304</c:v>
                </c:pt>
                <c:pt idx="172">
                  <c:v>-19.458148039369579</c:v>
                </c:pt>
                <c:pt idx="173">
                  <c:v>-19.39904887011663</c:v>
                </c:pt>
                <c:pt idx="174">
                  <c:v>-19.340168892658962</c:v>
                </c:pt>
                <c:pt idx="175">
                  <c:v>-19.281507031229388</c:v>
                </c:pt>
                <c:pt idx="176">
                  <c:v>-19.223062216728636</c:v>
                </c:pt>
                <c:pt idx="177">
                  <c:v>-19.164833386675671</c:v>
                </c:pt>
                <c:pt idx="178">
                  <c:v>-19.106819485158322</c:v>
                </c:pt>
                <c:pt idx="179">
                  <c:v>-19.049019462784489</c:v>
                </c:pt>
                <c:pt idx="180">
                  <c:v>-18.991432276633692</c:v>
                </c:pt>
                <c:pt idx="181">
                  <c:v>-18.934056890209103</c:v>
                </c:pt>
                <c:pt idx="182">
                  <c:v>-18.876892273389853</c:v>
                </c:pt>
                <c:pt idx="183">
                  <c:v>-18.81993740238395</c:v>
                </c:pt>
                <c:pt idx="184">
                  <c:v>-18.763191259681474</c:v>
                </c:pt>
                <c:pt idx="185">
                  <c:v>-18.706652834008175</c:v>
                </c:pt>
                <c:pt idx="186">
                  <c:v>-18.650321120279514</c:v>
                </c:pt>
                <c:pt idx="187">
                  <c:v>-18.594195119555188</c:v>
                </c:pt>
                <c:pt idx="188">
                  <c:v>-18.538273838993767</c:v>
                </c:pt>
                <c:pt idx="189">
                  <c:v>-18.482556291808073</c:v>
                </c:pt>
                <c:pt idx="190">
                  <c:v>-18.427041497220664</c:v>
                </c:pt>
                <c:pt idx="191">
                  <c:v>-18.371728480419847</c:v>
                </c:pt>
                <c:pt idx="192">
                  <c:v>-18.316616272516061</c:v>
                </c:pt>
                <c:pt idx="193">
                  <c:v>-18.261703910498532</c:v>
                </c:pt>
                <c:pt idx="194">
                  <c:v>-18.20699043719241</c:v>
                </c:pt>
                <c:pt idx="195">
                  <c:v>-18.152474901216227</c:v>
                </c:pt>
                <c:pt idx="196">
                  <c:v>-18.098156356939718</c:v>
                </c:pt>
                <c:pt idx="197">
                  <c:v>-18.044033864441985</c:v>
                </c:pt>
                <c:pt idx="198">
                  <c:v>-17.99010648947004</c:v>
                </c:pt>
                <c:pt idx="199">
                  <c:v>-17.936373303397733</c:v>
                </c:pt>
                <c:pt idx="200">
                  <c:v>-17.882833383184938</c:v>
                </c:pt>
                <c:pt idx="201">
                  <c:v>-17.829485811337136</c:v>
                </c:pt>
                <c:pt idx="202">
                  <c:v>-17.302162764250955</c:v>
                </c:pt>
                <c:pt idx="203">
                  <c:v>-16.793461541042465</c:v>
                </c:pt>
                <c:pt idx="204">
                  <c:v>-16.302522327983215</c:v>
                </c:pt>
                <c:pt idx="205">
                  <c:v>-15.8285350647225</c:v>
                </c:pt>
                <c:pt idx="206">
                  <c:v>-15.370736013420361</c:v>
                </c:pt>
                <c:pt idx="207">
                  <c:v>-14.928404601993421</c:v>
                </c:pt>
                <c:pt idx="208">
                  <c:v>-14.500860516648652</c:v>
                </c:pt>
                <c:pt idx="209">
                  <c:v>-14.087461021387107</c:v>
                </c:pt>
                <c:pt idx="210">
                  <c:v>-13.687598484388831</c:v>
                </c:pt>
                <c:pt idx="211">
                  <c:v>-13.300698093173429</c:v>
                </c:pt>
                <c:pt idx="212">
                  <c:v>-12.926215742198673</c:v>
                </c:pt>
                <c:pt idx="213">
                  <c:v>-12.563636078137501</c:v>
                </c:pt>
                <c:pt idx="214">
                  <c:v>-12.212470689483153</c:v>
                </c:pt>
                <c:pt idx="215">
                  <c:v>-11.872256428394264</c:v>
                </c:pt>
                <c:pt idx="216">
                  <c:v>-11.54255385382146</c:v>
                </c:pt>
                <c:pt idx="217">
                  <c:v>-11.222945785970936</c:v>
                </c:pt>
                <c:pt idx="218">
                  <c:v>-10.913035963070721</c:v>
                </c:pt>
                <c:pt idx="219">
                  <c:v>-10.612447792224167</c:v>
                </c:pt>
                <c:pt idx="220">
                  <c:v>-10.320823186871447</c:v>
                </c:pt>
                <c:pt idx="221">
                  <c:v>-10.037821484044398</c:v>
                </c:pt>
                <c:pt idx="222">
                  <c:v>-9.7631184351984537</c:v>
                </c:pt>
                <c:pt idx="223">
                  <c:v>-9.4964052649466399</c:v>
                </c:pt>
                <c:pt idx="224">
                  <c:v>-9.2373877925096028</c:v>
                </c:pt>
                <c:pt idx="225">
                  <c:v>-8.9857856111379206</c:v>
                </c:pt>
                <c:pt idx="226">
                  <c:v>-8.741331321164262</c:v>
                </c:pt>
                <c:pt idx="227">
                  <c:v>-8.5037698127060128</c:v>
                </c:pt>
                <c:pt idx="228">
                  <c:v>-8.2728575943693468</c:v>
                </c:pt>
                <c:pt idx="229">
                  <c:v>-8.0483621646052264</c:v>
                </c:pt>
                <c:pt idx="230">
                  <c:v>-7.8300614226405765</c:v>
                </c:pt>
                <c:pt idx="231">
                  <c:v>-7.6177431161558999</c:v>
                </c:pt>
                <c:pt idx="232">
                  <c:v>-7.4112043231067037</c:v>
                </c:pt>
                <c:pt idx="233">
                  <c:v>-7.2102509652922384</c:v>
                </c:pt>
                <c:pt idx="234">
                  <c:v>-7.014697351463095</c:v>
                </c:pt>
                <c:pt idx="235">
                  <c:v>-6.8243657479310507</c:v>
                </c:pt>
                <c:pt idx="236">
                  <c:v>-6.6390859748016249</c:v>
                </c:pt>
                <c:pt idx="237">
                  <c:v>-6.4586950260933982</c:v>
                </c:pt>
                <c:pt idx="238">
                  <c:v>-6.2830367121399098</c:v>
                </c:pt>
                <c:pt idx="239">
                  <c:v>-6.1119613227902398</c:v>
                </c:pt>
                <c:pt idx="240">
                  <c:v>-5.9453253100351429</c:v>
                </c:pt>
                <c:pt idx="241">
                  <c:v>-5.7829909887870325</c:v>
                </c:pt>
                <c:pt idx="242">
                  <c:v>-5.6248262546351437</c:v>
                </c:pt>
                <c:pt idx="243">
                  <c:v>-5.4707043174830838</c:v>
                </c:pt>
                <c:pt idx="244">
                  <c:v>-5.3205034500545363</c:v>
                </c:pt>
                <c:pt idx="245">
                  <c:v>-5.1741067503255627</c:v>
                </c:pt>
                <c:pt idx="246">
                  <c:v>-5.0314019170085453</c:v>
                </c:pt>
                <c:pt idx="247">
                  <c:v>-4.8922810372745884</c:v>
                </c:pt>
                <c:pt idx="248">
                  <c:v>-4.7566403859577395</c:v>
                </c:pt>
                <c:pt idx="249">
                  <c:v>-4.6243802355369024</c:v>
                </c:pt>
                <c:pt idx="250">
                  <c:v>-4.4954046762397333</c:v>
                </c:pt>
                <c:pt idx="251">
                  <c:v>-4.3696214456573932</c:v>
                </c:pt>
                <c:pt idx="252">
                  <c:v>-4.2469417673005037</c:v>
                </c:pt>
                <c:pt idx="253">
                  <c:v>-4.1272801975648212</c:v>
                </c:pt>
                <c:pt idx="254">
                  <c:v>-4.0105544806106295</c:v>
                </c:pt>
                <c:pt idx="255">
                  <c:v>-3.8966854106925815</c:v>
                </c:pt>
                <c:pt idx="256">
                  <c:v>-3.7855967015072345</c:v>
                </c:pt>
                <c:pt idx="257">
                  <c:v>-3.6772148621536132</c:v>
                </c:pt>
                <c:pt idx="258">
                  <c:v>-3.5714690793284154</c:v>
                </c:pt>
                <c:pt idx="259">
                  <c:v>-3.4682911054017351</c:v>
                </c:pt>
                <c:pt idx="260">
                  <c:v>-3.3676151520417084</c:v>
                </c:pt>
                <c:pt idx="261">
                  <c:v>-3.2693777890775992</c:v>
                </c:pt>
                <c:pt idx="262">
                  <c:v>-3.1735178483102238</c:v>
                </c:pt>
                <c:pt idx="263">
                  <c:v>-3.0799763319968774</c:v>
                </c:pt>
                <c:pt idx="264">
                  <c:v>-2.9886963257547916</c:v>
                </c:pt>
                <c:pt idx="265">
                  <c:v>-2.8996229156429045</c:v>
                </c:pt>
                <c:pt idx="266">
                  <c:v>-2.8127031091964239</c:v>
                </c:pt>
                <c:pt idx="267">
                  <c:v>-2.7278857602023283</c:v>
                </c:pt>
                <c:pt idx="268">
                  <c:v>-2.6451214970167345</c:v>
                </c:pt>
                <c:pt idx="269">
                  <c:v>-2.5643626542369615</c:v>
                </c:pt>
                <c:pt idx="270">
                  <c:v>-2.4855632075522665</c:v>
                </c:pt>
                <c:pt idx="271">
                  <c:v>-2.4086787116075952</c:v>
                </c:pt>
                <c:pt idx="272">
                  <c:v>-2.3336662407244049</c:v>
                </c:pt>
                <c:pt idx="273">
                  <c:v>-2.2604843323317274</c:v>
                </c:pt>
                <c:pt idx="274">
                  <c:v>-2.1890929329690749</c:v>
                </c:pt>
                <c:pt idx="275">
                  <c:v>-2.1194533467307815</c:v>
                </c:pt>
                <c:pt idx="276">
                  <c:v>-2.0515281860287957</c:v>
                </c:pt>
                <c:pt idx="277">
                  <c:v>-1.9852813245578613</c:v>
                </c:pt>
                <c:pt idx="278">
                  <c:v>-1.9206778523536081</c:v>
                </c:pt>
                <c:pt idx="279">
                  <c:v>-1.8576840328401334</c:v>
                </c:pt>
                <c:pt idx="280">
                  <c:v>-1.7962672617693596</c:v>
                </c:pt>
                <c:pt idx="281">
                  <c:v>-1.7363960279598816</c:v>
                </c:pt>
                <c:pt idx="282">
                  <c:v>-1.678039875747962</c:v>
                </c:pt>
                <c:pt idx="283">
                  <c:v>-1.6211693690680931</c:v>
                </c:pt>
                <c:pt idx="284">
                  <c:v>-1.5657560570849409</c:v>
                </c:pt>
                <c:pt idx="285">
                  <c:v>-1.5117724413026128</c:v>
                </c:pt>
                <c:pt idx="286">
                  <c:v>-1.4591919440810897</c:v>
                </c:pt>
                <c:pt idx="287">
                  <c:v>-1.4079888784932564</c:v>
                </c:pt>
                <c:pt idx="288">
                  <c:v>-1.3581384194594031</c:v>
                </c:pt>
                <c:pt idx="289">
                  <c:v>-1.3096165760992129</c:v>
                </c:pt>
                <c:pt idx="290">
                  <c:v>-1.2624001652442498</c:v>
                </c:pt>
                <c:pt idx="291">
                  <c:v>-1.2164667860567018</c:v>
                </c:pt>
                <c:pt idx="292">
                  <c:v>-1.1717947957027663</c:v>
                </c:pt>
                <c:pt idx="293">
                  <c:v>-1.128363286031419</c:v>
                </c:pt>
                <c:pt idx="294">
                  <c:v>-1.0861520612115698</c:v>
                </c:pt>
                <c:pt idx="295">
                  <c:v>-1.0451416162826739</c:v>
                </c:pt>
                <c:pt idx="296">
                  <c:v>-1.0053131165757463</c:v>
                </c:pt>
                <c:pt idx="297">
                  <c:v>-0.96664837796349612</c:v>
                </c:pt>
                <c:pt idx="298">
                  <c:v>-0.92912984789986619</c:v>
                </c:pt>
                <c:pt idx="299">
                  <c:v>-0.89274058721071248</c:v>
                </c:pt>
                <c:pt idx="300">
                  <c:v>-0.85746425259861692</c:v>
                </c:pt>
                <c:pt idx="301">
                  <c:v>-0.82328507982597643</c:v>
                </c:pt>
                <c:pt idx="302">
                  <c:v>-0.79018786754146952</c:v>
                </c:pt>
                <c:pt idx="303">
                  <c:v>-0.75815796171580674</c:v>
                </c:pt>
                <c:pt idx="304">
                  <c:v>-0.72718124065334266</c:v>
                </c:pt>
                <c:pt idx="305">
                  <c:v>-0.69724410054659058</c:v>
                </c:pt>
                <c:pt idx="306">
                  <c:v>-0.66833344154100949</c:v>
                </c:pt>
                <c:pt idx="307">
                  <c:v>-0.6404366542775507</c:v>
                </c:pt>
                <c:pt idx="308">
                  <c:v>-0.6135416068804127</c:v>
                </c:pt>
                <c:pt idx="309">
                  <c:v>-0.58763663235719676</c:v>
                </c:pt>
                <c:pt idx="310">
                  <c:v>-0.56271051637820901</c:v>
                </c:pt>
                <c:pt idx="311">
                  <c:v>-0.53875248540100429</c:v>
                </c:pt>
                <c:pt idx="312">
                  <c:v>-0.51575219510539083</c:v>
                </c:pt>
                <c:pt idx="313">
                  <c:v>-0.49369971910303062</c:v>
                </c:pt>
                <c:pt idx="314">
                  <c:v>-0.47258553788448104</c:v>
                </c:pt>
                <c:pt idx="315">
                  <c:v>-0.45240052796499075</c:v>
                </c:pt>
                <c:pt idx="316">
                  <c:v>-0.4331359511886988</c:v>
                </c:pt>
                <c:pt idx="317">
                  <c:v>-0.41478344414897456</c:v>
                </c:pt>
                <c:pt idx="318">
                  <c:v>-0.39733500768068475</c:v>
                </c:pt>
                <c:pt idx="319">
                  <c:v>-0.38078299637807395</c:v>
                </c:pt>
                <c:pt idx="320">
                  <c:v>-0.36512010808990863</c:v>
                </c:pt>
                <c:pt idx="321">
                  <c:v>-0.35033937334158705</c:v>
                </c:pt>
                <c:pt idx="322">
                  <c:v>-0.33643414463222304</c:v>
                </c:pt>
                <c:pt idx="323">
                  <c:v>-0.32339808555344213</c:v>
                </c:pt>
                <c:pt idx="324">
                  <c:v>-0.31122515967596837</c:v>
                </c:pt>
                <c:pt idx="325">
                  <c:v>-0.29990961915029429</c:v>
                </c:pt>
                <c:pt idx="326">
                  <c:v>-0.28944599296905388</c:v>
                </c:pt>
                <c:pt idx="327">
                  <c:v>-0.27982907484146824</c:v>
                </c:pt>
                <c:pt idx="328">
                  <c:v>-0.2710539106346897</c:v>
                </c:pt>
                <c:pt idx="329">
                  <c:v>-0.26311578534329871</c:v>
                </c:pt>
                <c:pt idx="330">
                  <c:v>-0.25601020955683751</c:v>
                </c:pt>
                <c:pt idx="331">
                  <c:v>-0.2497329054062222</c:v>
                </c:pt>
                <c:pt idx="332">
                  <c:v>-0.24427979198316768</c:v>
                </c:pt>
                <c:pt idx="333">
                  <c:v>-0.23964697024221115</c:v>
                </c:pt>
                <c:pt idx="334">
                  <c:v>-0.23583070741217615</c:v>
                </c:pt>
                <c:pt idx="335">
                  <c:v>-0.2328274209623907</c:v>
                </c:pt>
                <c:pt idx="336">
                  <c:v>-0.23063366218785683</c:v>
                </c:pt>
                <c:pt idx="337">
                  <c:v>-0.22924609949593172</c:v>
                </c:pt>
                <c:pt idx="338">
                  <c:v>-0.2286615014938238</c:v>
                </c:pt>
                <c:pt idx="339">
                  <c:v>-0.22887671999028203</c:v>
                </c:pt>
                <c:pt idx="340">
                  <c:v>-0.22988867303528843</c:v>
                </c:pt>
                <c:pt idx="341">
                  <c:v>-0.23169432812758761</c:v>
                </c:pt>
                <c:pt idx="342">
                  <c:v>-0.23429068572107514</c:v>
                </c:pt>
                <c:pt idx="343">
                  <c:v>-0.23767476315730676</c:v>
                </c:pt>
                <c:pt idx="344">
                  <c:v>-0.24184357914299606</c:v>
                </c:pt>
                <c:pt idx="345">
                  <c:v>-0.24679413887896443</c:v>
                </c:pt>
                <c:pt idx="346">
                  <c:v>-0.2525234199314641</c:v>
                </c:pt>
                <c:pt idx="347">
                  <c:v>-0.25902835891919274</c:v>
                </c:pt>
                <c:pt idx="348">
                  <c:v>-0.26630583907072297</c:v>
                </c:pt>
                <c:pt idx="349">
                  <c:v>-0.27435267868851249</c:v>
                </c:pt>
                <c:pt idx="350">
                  <c:v>-0.28316562053803412</c:v>
                </c:pt>
                <c:pt idx="351">
                  <c:v>-0.29274132216454929</c:v>
                </c:pt>
                <c:pt idx="352">
                  <c:v>-0.30307634712610554</c:v>
                </c:pt>
                <c:pt idx="353">
                  <c:v>-0.31416715711973509</c:v>
                </c:pt>
                <c:pt idx="354">
                  <c:v>-0.32601010496862398</c:v>
                </c:pt>
                <c:pt idx="355">
                  <c:v>-0.33860142843112917</c:v>
                </c:pt>
                <c:pt idx="356">
                  <c:v>-0.3519372447877554</c:v>
                </c:pt>
                <c:pt idx="357">
                  <c:v>-0.36601354615930348</c:v>
                </c:pt>
                <c:pt idx="358">
                  <c:v>-0.38082619550807706</c:v>
                </c:pt>
                <c:pt idx="359">
                  <c:v>-0.39637092327398193</c:v>
                </c:pt>
                <c:pt idx="360">
                  <c:v>-0.41264332459830172</c:v>
                </c:pt>
                <c:pt idx="361">
                  <c:v>-0.42963885708961791</c:v>
                </c:pt>
                <c:pt idx="362">
                  <c:v>-0.4473528390885454</c:v>
                </c:pt>
                <c:pt idx="363">
                  <c:v>-0.46578044839049015</c:v>
                </c:pt>
                <c:pt idx="364">
                  <c:v>-0.48491672138836595</c:v>
                </c:pt>
                <c:pt idx="365">
                  <c:v>-0.50475655259998231</c:v>
                </c:pt>
                <c:pt idx="366">
                  <c:v>-0.5252946945476058</c:v>
                </c:pt>
                <c:pt idx="367">
                  <c:v>-0.54652575795986313</c:v>
                </c:pt>
                <c:pt idx="368">
                  <c:v>-0.56844421226872688</c:v>
                </c:pt>
                <c:pt idx="369">
                  <c:v>-0.59104438637672052</c:v>
                </c:pt>
                <c:pt idx="370">
                  <c:v>-0.61432046967171139</c:v>
                </c:pt>
                <c:pt idx="371">
                  <c:v>-0.63826651326871009</c:v>
                </c:pt>
                <c:pt idx="372">
                  <c:v>-0.6628764314599801</c:v>
                </c:pt>
                <c:pt idx="373">
                  <c:v>-0.68814400335643988</c:v>
                </c:pt>
                <c:pt idx="374">
                  <c:v>-0.71406287470490359</c:v>
                </c:pt>
                <c:pt idx="375">
                  <c:v>-0.74062655986707193</c:v>
                </c:pt>
                <c:pt idx="376">
                  <c:v>-0.76782844394742233</c:v>
                </c:pt>
                <c:pt idx="377">
                  <c:v>-0.79566178505827378</c:v>
                </c:pt>
                <c:pt idx="378">
                  <c:v>-0.82411971671126749</c:v>
                </c:pt>
                <c:pt idx="379">
                  <c:v>-0.85319525032541232</c:v>
                </c:pt>
                <c:pt idx="380">
                  <c:v>-0.88288127784260262</c:v>
                </c:pt>
                <c:pt idx="381">
                  <c:v>-0.91317057444222915</c:v>
                </c:pt>
                <c:pt idx="382">
                  <c:v>-0.94405580134713674</c:v>
                </c:pt>
                <c:pt idx="383">
                  <c:v>-0.9755295087136967</c:v>
                </c:pt>
                <c:pt idx="384">
                  <c:v>-1.0075841385992979</c:v>
                </c:pt>
                <c:pt idx="385">
                  <c:v>-1.0402120280009652</c:v>
                </c:pt>
                <c:pt idx="386">
                  <c:v>-1.0734054119592231</c:v>
                </c:pt>
                <c:pt idx="387">
                  <c:v>-1.1071564267216545</c:v>
                </c:pt>
                <c:pt idx="388">
                  <c:v>-1.1414571129609341</c:v>
                </c:pt>
                <c:pt idx="389">
                  <c:v>-1.1762994190423766</c:v>
                </c:pt>
                <c:pt idx="390">
                  <c:v>-1.2116752043363077</c:v>
                </c:pt>
                <c:pt idx="391">
                  <c:v>-1.2475762425707648</c:v>
                </c:pt>
                <c:pt idx="392">
                  <c:v>-1.2839942252202834</c:v>
                </c:pt>
                <c:pt idx="393">
                  <c:v>-1.3209207649266421</c:v>
                </c:pt>
                <c:pt idx="394">
                  <c:v>-1.3583473989476895</c:v>
                </c:pt>
                <c:pt idx="395">
                  <c:v>-1.3962655926304508</c:v>
                </c:pt>
                <c:pt idx="396">
                  <c:v>-1.434666742904908</c:v>
                </c:pt>
                <c:pt idx="397">
                  <c:v>-1.4735421817949466</c:v>
                </c:pt>
                <c:pt idx="398">
                  <c:v>-1.5128831799431011</c:v>
                </c:pt>
                <c:pt idx="399">
                  <c:v>-1.5526809501458256</c:v>
                </c:pt>
                <c:pt idx="400">
                  <c:v>-1.5929266508961391</c:v>
                </c:pt>
                <c:pt idx="401">
                  <c:v>-1.6336113899305664</c:v>
                </c:pt>
                <c:pt idx="402">
                  <c:v>-1.6747262277774355</c:v>
                </c:pt>
                <c:pt idx="403">
                  <c:v>-1.7162621813036159</c:v>
                </c:pt>
                <c:pt idx="404">
                  <c:v>-1.7582102272569289</c:v>
                </c:pt>
                <c:pt idx="405">
                  <c:v>-1.8005613058015011</c:v>
                </c:pt>
                <c:pt idx="406">
                  <c:v>-1.8433063240434335</c:v>
                </c:pt>
                <c:pt idx="407">
                  <c:v>-1.8864361595442134</c:v>
                </c:pt>
                <c:pt idx="408">
                  <c:v>-1.929941663819394</c:v>
                </c:pt>
                <c:pt idx="409">
                  <c:v>-1.9738136658201271</c:v>
                </c:pt>
                <c:pt idx="410">
                  <c:v>-2.0180429753951783</c:v>
                </c:pt>
                <c:pt idx="411">
                  <c:v>-2.0626203867312016</c:v>
                </c:pt>
                <c:pt idx="412">
                  <c:v>-2.1075366817690049</c:v>
                </c:pt>
                <c:pt idx="413">
                  <c:v>-2.1527826335937155</c:v>
                </c:pt>
                <c:pt idx="414">
                  <c:v>-2.1983490097967375</c:v>
                </c:pt>
                <c:pt idx="415">
                  <c:v>-2.2442265758075268</c:v>
                </c:pt>
                <c:pt idx="416">
                  <c:v>-2.2904060981932108</c:v>
                </c:pt>
                <c:pt idx="417">
                  <c:v>-2.3368783479241908</c:v>
                </c:pt>
                <c:pt idx="418">
                  <c:v>-2.3836341036039297</c:v>
                </c:pt>
                <c:pt idx="419">
                  <c:v>-2.4306641546611427</c:v>
                </c:pt>
                <c:pt idx="420">
                  <c:v>-2.4779593045027348</c:v>
                </c:pt>
                <c:pt idx="421">
                  <c:v>-2.5255103736258753</c:v>
                </c:pt>
                <c:pt idx="422">
                  <c:v>-2.5733082026876111</c:v>
                </c:pt>
                <c:pt idx="423">
                  <c:v>-2.6213436555305809</c:v>
                </c:pt>
                <c:pt idx="424">
                  <c:v>-2.6696076221633569</c:v>
                </c:pt>
                <c:pt idx="425">
                  <c:v>-2.7180910216940846</c:v>
                </c:pt>
                <c:pt idx="426">
                  <c:v>-2.7667848052160826</c:v>
                </c:pt>
                <c:pt idx="427">
                  <c:v>-2.8156799586442118</c:v>
                </c:pt>
                <c:pt idx="428">
                  <c:v>-2.8647675055007764</c:v>
                </c:pt>
                <c:pt idx="429">
                  <c:v>-2.9140385096498997</c:v>
                </c:pt>
                <c:pt idx="430">
                  <c:v>-2.9634840779792873</c:v>
                </c:pt>
                <c:pt idx="431">
                  <c:v>-3.0130953630283894</c:v>
                </c:pt>
                <c:pt idx="432">
                  <c:v>-3.0628635655620475</c:v>
                </c:pt>
                <c:pt idx="433">
                  <c:v>-3.1127799370887459</c:v>
                </c:pt>
                <c:pt idx="434">
                  <c:v>-3.1628357823226549</c:v>
                </c:pt>
                <c:pt idx="435">
                  <c:v>-3.2130224615887188</c:v>
                </c:pt>
                <c:pt idx="436">
                  <c:v>-3.2633313931701067</c:v>
                </c:pt>
                <c:pt idx="437">
                  <c:v>-3.3137540555973723</c:v>
                </c:pt>
                <c:pt idx="438">
                  <c:v>-3.3642819898787932</c:v>
                </c:pt>
                <c:pt idx="439">
                  <c:v>-3.4149068016712949</c:v>
                </c:pt>
                <c:pt idx="440">
                  <c:v>-3.4656201633915931</c:v>
                </c:pt>
                <c:pt idx="441">
                  <c:v>-3.5164138162670802</c:v>
                </c:pt>
                <c:pt idx="442">
                  <c:v>-3.5672795723261248</c:v>
                </c:pt>
                <c:pt idx="443">
                  <c:v>-3.6182093163275142</c:v>
                </c:pt>
                <c:pt idx="444">
                  <c:v>-3.6691950076287543</c:v>
                </c:pt>
                <c:pt idx="445">
                  <c:v>-3.7202286819930781</c:v>
                </c:pt>
                <c:pt idx="446">
                  <c:v>-3.7713024533350037</c:v>
                </c:pt>
                <c:pt idx="447">
                  <c:v>-3.8224085154043563</c:v>
                </c:pt>
                <c:pt idx="448">
                  <c:v>-3.8735391434087272</c:v>
                </c:pt>
                <c:pt idx="449">
                  <c:v>-3.9246866955743553</c:v>
                </c:pt>
                <c:pt idx="450">
                  <c:v>-3.9758436146455387</c:v>
                </c:pt>
                <c:pt idx="451">
                  <c:v>-4.0270024293226232</c:v>
                </c:pt>
                <c:pt idx="452">
                  <c:v>-4.0781557556387673</c:v>
                </c:pt>
                <c:pt idx="453">
                  <c:v>-4.1292962982756505</c:v>
                </c:pt>
                <c:pt idx="454">
                  <c:v>-4.1804168518183662</c:v>
                </c:pt>
                <c:pt idx="455">
                  <c:v>-4.2315103019498164</c:v>
                </c:pt>
                <c:pt idx="456">
                  <c:v>-4.2825696265848592</c:v>
                </c:pt>
                <c:pt idx="457">
                  <c:v>-4.3335878969446382</c:v>
                </c:pt>
                <c:pt idx="458">
                  <c:v>-4.3845582785714656</c:v>
                </c:pt>
                <c:pt idx="459">
                  <c:v>-4.4354740322846924</c:v>
                </c:pt>
                <c:pt idx="460">
                  <c:v>-4.4863285150780445</c:v>
                </c:pt>
                <c:pt idx="461">
                  <c:v>-4.5371151809589385</c:v>
                </c:pt>
                <c:pt idx="462">
                  <c:v>-4.5878275817303145</c:v>
                </c:pt>
                <c:pt idx="463">
                  <c:v>-4.6384593677155621</c:v>
                </c:pt>
                <c:pt idx="464">
                  <c:v>-4.6890042884271335</c:v>
                </c:pt>
                <c:pt idx="465">
                  <c:v>-4.7394561931795032</c:v>
                </c:pt>
                <c:pt idx="466">
                  <c:v>-4.7898090316471214</c:v>
                </c:pt>
                <c:pt idx="467">
                  <c:v>-4.8400568543680462</c:v>
                </c:pt>
                <c:pt idx="468">
                  <c:v>-4.890193813193993</c:v>
                </c:pt>
                <c:pt idx="469">
                  <c:v>-4.9402141616875364</c:v>
                </c:pt>
                <c:pt idx="470">
                  <c:v>-4.9901122554672037</c:v>
                </c:pt>
                <c:pt idx="471">
                  <c:v>-5.0398825525012976</c:v>
                </c:pt>
                <c:pt idx="472">
                  <c:v>-5.0895196133512268</c:v>
                </c:pt>
                <c:pt idx="473">
                  <c:v>-5.1390181013651564</c:v>
                </c:pt>
                <c:pt idx="474">
                  <c:v>-5.1883727828228743</c:v>
                </c:pt>
                <c:pt idx="475">
                  <c:v>-5.2375785270327135</c:v>
                </c:pt>
                <c:pt idx="476">
                  <c:v>-5.2866303063813724</c:v>
                </c:pt>
                <c:pt idx="477">
                  <c:v>-5.3355231963376442</c:v>
                </c:pt>
                <c:pt idx="478">
                  <c:v>-5.3842523754108047</c:v>
                </c:pt>
                <c:pt idx="479">
                  <c:v>-5.4328131250647322</c:v>
                </c:pt>
                <c:pt idx="480">
                  <c:v>-5.4812008295886105</c:v>
                </c:pt>
                <c:pt idx="481">
                  <c:v>-5.5294109759251793</c:v>
                </c:pt>
                <c:pt idx="482">
                  <c:v>-5.5774391534574992</c:v>
                </c:pt>
                <c:pt idx="483">
                  <c:v>-5.6252810537551712</c:v>
                </c:pt>
                <c:pt idx="484">
                  <c:v>-5.6729324702810198</c:v>
                </c:pt>
                <c:pt idx="485">
                  <c:v>-5.7203892980591595</c:v>
                </c:pt>
                <c:pt idx="486">
                  <c:v>-5.7676475333055102</c:v>
                </c:pt>
                <c:pt idx="487">
                  <c:v>-5.8147032730216397</c:v>
                </c:pt>
                <c:pt idx="488">
                  <c:v>-5.8615527145530475</c:v>
                </c:pt>
                <c:pt idx="489">
                  <c:v>-5.9081921551127587</c:v>
                </c:pt>
                <c:pt idx="490">
                  <c:v>-5.9546179912713235</c:v>
                </c:pt>
                <c:pt idx="491">
                  <c:v>-6.0008267184141477</c:v>
                </c:pt>
                <c:pt idx="492">
                  <c:v>-6.046814930167197</c:v>
                </c:pt>
                <c:pt idx="493">
                  <c:v>-6.0925793177920289</c:v>
                </c:pt>
                <c:pt idx="494">
                  <c:v>-6.1381166695511595</c:v>
                </c:pt>
                <c:pt idx="495">
                  <c:v>-6.1834238700447672</c:v>
                </c:pt>
                <c:pt idx="496">
                  <c:v>-6.2284978995197076</c:v>
                </c:pt>
                <c:pt idx="497">
                  <c:v>-6.2733358331517621</c:v>
                </c:pt>
                <c:pt idx="498">
                  <c:v>-6.3179348403022502</c:v>
                </c:pt>
                <c:pt idx="499">
                  <c:v>-6.3622921837497639</c:v>
                </c:pt>
                <c:pt idx="500">
                  <c:v>-6.4064052188981746</c:v>
                </c:pt>
                <c:pt idx="501">
                  <c:v>-6.4502713929617448</c:v>
                </c:pt>
                <c:pt idx="502">
                  <c:v>-6.493888244128371</c:v>
                </c:pt>
                <c:pt idx="503">
                  <c:v>-6.5372534007018359</c:v>
                </c:pt>
                <c:pt idx="504">
                  <c:v>-6.580364580224038</c:v>
                </c:pt>
                <c:pt idx="505">
                  <c:v>-6.6232195885781202</c:v>
                </c:pt>
                <c:pt idx="506">
                  <c:v>-6.6658163190733939</c:v>
                </c:pt>
                <c:pt idx="507">
                  <c:v>-6.7081527515129364</c:v>
                </c:pt>
                <c:pt idx="508">
                  <c:v>-6.7502269512448523</c:v>
                </c:pt>
                <c:pt idx="509">
                  <c:v>-6.7920370681979092</c:v>
                </c:pt>
                <c:pt idx="510">
                  <c:v>-6.8335813359025996</c:v>
                </c:pt>
                <c:pt idx="511">
                  <c:v>-6.8748580704983295</c:v>
                </c:pt>
                <c:pt idx="512">
                  <c:v>-6.9158656697276912</c:v>
                </c:pt>
                <c:pt idx="513">
                  <c:v>-6.9566026119185569</c:v>
                </c:pt>
                <c:pt idx="514">
                  <c:v>-6.9970674549548937</c:v>
                </c:pt>
                <c:pt idx="515">
                  <c:v>-7.0372588352370293</c:v>
                </c:pt>
                <c:pt idx="516">
                  <c:v>-7.077175466632216</c:v>
                </c:pt>
                <c:pt idx="517">
                  <c:v>-7.116816139416227</c:v>
                </c:pt>
                <c:pt idx="518">
                  <c:v>-7.1561797192067695</c:v>
                </c:pt>
                <c:pt idx="519">
                  <c:v>-7.1952651458894401</c:v>
                </c:pt>
                <c:pt idx="520">
                  <c:v>-7.2340714325369984</c:v>
                </c:pt>
                <c:pt idx="521">
                  <c:v>-7.2341098725935744</c:v>
                </c:pt>
                <c:pt idx="522">
                  <c:v>-7.2341483123727173</c:v>
                </c:pt>
                <c:pt idx="523">
                  <c:v>-7.2341867518744252</c:v>
                </c:pt>
                <c:pt idx="524">
                  <c:v>-7.2342251910987008</c:v>
                </c:pt>
                <c:pt idx="525">
                  <c:v>-7.2342636300455423</c:v>
                </c:pt>
                <c:pt idx="526">
                  <c:v>-7.234302068714948</c:v>
                </c:pt>
                <c:pt idx="527">
                  <c:v>-7.2343405071069169</c:v>
                </c:pt>
                <c:pt idx="528">
                  <c:v>-7.2343789452214482</c:v>
                </c:pt>
                <c:pt idx="529">
                  <c:v>-7.2344173830585428</c:v>
                </c:pt>
                <c:pt idx="530">
                  <c:v>-7.2344558206181997</c:v>
                </c:pt>
                <c:pt idx="531">
                  <c:v>-7.2344942579004128</c:v>
                </c:pt>
                <c:pt idx="532">
                  <c:v>-7.2345326949051874</c:v>
                </c:pt>
                <c:pt idx="533">
                  <c:v>-7.2345711316325199</c:v>
                </c:pt>
                <c:pt idx="534">
                  <c:v>-7.2346095680824103</c:v>
                </c:pt>
                <c:pt idx="535">
                  <c:v>-7.2346480042548569</c:v>
                </c:pt>
                <c:pt idx="536">
                  <c:v>-7.234686440149857</c:v>
                </c:pt>
                <c:pt idx="537">
                  <c:v>-7.2347248757674176</c:v>
                </c:pt>
                <c:pt idx="538">
                  <c:v>-7.2347633111075282</c:v>
                </c:pt>
                <c:pt idx="539">
                  <c:v>-7.234801746170195</c:v>
                </c:pt>
                <c:pt idx="540">
                  <c:v>-7.2348401809554117</c:v>
                </c:pt>
                <c:pt idx="541">
                  <c:v>-7.2348786154631837</c:v>
                </c:pt>
                <c:pt idx="542">
                  <c:v>-7.2349170496935029</c:v>
                </c:pt>
                <c:pt idx="543">
                  <c:v>-7.2349554836463748</c:v>
                </c:pt>
                <c:pt idx="544">
                  <c:v>-7.2349939173217939</c:v>
                </c:pt>
                <c:pt idx="545">
                  <c:v>-7.2350323507197629</c:v>
                </c:pt>
                <c:pt idx="546">
                  <c:v>-7.2350707838402748</c:v>
                </c:pt>
                <c:pt idx="547">
                  <c:v>-7.2351092166833402</c:v>
                </c:pt>
                <c:pt idx="548">
                  <c:v>-7.2351476492489475</c:v>
                </c:pt>
                <c:pt idx="549">
                  <c:v>-7.2351860815370994</c:v>
                </c:pt>
                <c:pt idx="550">
                  <c:v>-7.2352245135477959</c:v>
                </c:pt>
                <c:pt idx="551">
                  <c:v>-7.2352629452810406</c:v>
                </c:pt>
                <c:pt idx="552">
                  <c:v>-7.2353013767368202</c:v>
                </c:pt>
                <c:pt idx="553">
                  <c:v>-7.2353398079151452</c:v>
                </c:pt>
                <c:pt idx="554">
                  <c:v>-7.2353782388160095</c:v>
                </c:pt>
                <c:pt idx="555">
                  <c:v>-7.235416669439414</c:v>
                </c:pt>
                <c:pt idx="556">
                  <c:v>-7.2354550997853595</c:v>
                </c:pt>
                <c:pt idx="557">
                  <c:v>-7.235493529853839</c:v>
                </c:pt>
                <c:pt idx="558">
                  <c:v>-7.2355319596448622</c:v>
                </c:pt>
                <c:pt idx="559">
                  <c:v>-7.2355703891584175</c:v>
                </c:pt>
                <c:pt idx="560">
                  <c:v>-7.2356088183945095</c:v>
                </c:pt>
                <c:pt idx="561">
                  <c:v>-7.2356472473531337</c:v>
                </c:pt>
                <c:pt idx="562">
                  <c:v>-7.2356856760342936</c:v>
                </c:pt>
                <c:pt idx="563">
                  <c:v>-7.2357241044379901</c:v>
                </c:pt>
                <c:pt idx="564">
                  <c:v>-7.2357625325642116</c:v>
                </c:pt>
                <c:pt idx="565">
                  <c:v>-7.2358009604129698</c:v>
                </c:pt>
                <c:pt idx="566">
                  <c:v>-7.2358393879842575</c:v>
                </c:pt>
                <c:pt idx="567">
                  <c:v>-7.2358778152780756</c:v>
                </c:pt>
                <c:pt idx="568">
                  <c:v>-7.2359162422944214</c:v>
                </c:pt>
                <c:pt idx="569">
                  <c:v>-7.235954669033295</c:v>
                </c:pt>
                <c:pt idx="570">
                  <c:v>-7.235993095494698</c:v>
                </c:pt>
                <c:pt idx="571">
                  <c:v>-7.2360315216786262</c:v>
                </c:pt>
                <c:pt idx="572">
                  <c:v>-7.236069947585074</c:v>
                </c:pt>
                <c:pt idx="573">
                  <c:v>-7.236108373214055</c:v>
                </c:pt>
                <c:pt idx="574">
                  <c:v>-7.2361467985655565</c:v>
                </c:pt>
                <c:pt idx="575">
                  <c:v>-7.2361852236395796</c:v>
                </c:pt>
                <c:pt idx="576">
                  <c:v>-7.2362236484361269</c:v>
                </c:pt>
                <c:pt idx="577">
                  <c:v>-7.2362620729551956</c:v>
                </c:pt>
                <c:pt idx="578">
                  <c:v>-7.2363004971967833</c:v>
                </c:pt>
                <c:pt idx="579">
                  <c:v>-7.2363389211608915</c:v>
                </c:pt>
                <c:pt idx="580">
                  <c:v>-7.2363773448475195</c:v>
                </c:pt>
                <c:pt idx="581">
                  <c:v>-7.2364157682566654</c:v>
                </c:pt>
                <c:pt idx="582">
                  <c:v>-7.2364541913883258</c:v>
                </c:pt>
                <c:pt idx="583">
                  <c:v>-7.2364926142425032</c:v>
                </c:pt>
                <c:pt idx="584">
                  <c:v>-7.2365310368191977</c:v>
                </c:pt>
                <c:pt idx="585">
                  <c:v>-7.236569459118404</c:v>
                </c:pt>
                <c:pt idx="586">
                  <c:v>-7.2366078811401255</c:v>
                </c:pt>
                <c:pt idx="587">
                  <c:v>-7.2366463028843624</c:v>
                </c:pt>
                <c:pt idx="588">
                  <c:v>-7.2366847243511083</c:v>
                </c:pt>
                <c:pt idx="589">
                  <c:v>-7.2367231455403642</c:v>
                </c:pt>
                <c:pt idx="590">
                  <c:v>-7.2367615664521354</c:v>
                </c:pt>
                <c:pt idx="591">
                  <c:v>-7.2367999870864113</c:v>
                </c:pt>
                <c:pt idx="592">
                  <c:v>-7.2368384074431971</c:v>
                </c:pt>
                <c:pt idx="593">
                  <c:v>-7.2368768275224911</c:v>
                </c:pt>
                <c:pt idx="594">
                  <c:v>-7.2369152473242924</c:v>
                </c:pt>
                <c:pt idx="595">
                  <c:v>-7.236953666848601</c:v>
                </c:pt>
                <c:pt idx="596">
                  <c:v>-7.2369920860954151</c:v>
                </c:pt>
                <c:pt idx="597">
                  <c:v>-7.237030505064733</c:v>
                </c:pt>
                <c:pt idx="598">
                  <c:v>-7.2370689237565546</c:v>
                </c:pt>
                <c:pt idx="599">
                  <c:v>-7.2371073421708791</c:v>
                </c:pt>
                <c:pt idx="600">
                  <c:v>-7.2371457603077012</c:v>
                </c:pt>
                <c:pt idx="601">
                  <c:v>-7.2371841781670296</c:v>
                </c:pt>
                <c:pt idx="602">
                  <c:v>-7.2372225957488583</c:v>
                </c:pt>
                <c:pt idx="603">
                  <c:v>-7.23726101305318</c:v>
                </c:pt>
                <c:pt idx="604">
                  <c:v>-7.2372994300800082</c:v>
                </c:pt>
                <c:pt idx="605">
                  <c:v>-7.2373378468293286</c:v>
                </c:pt>
                <c:pt idx="606">
                  <c:v>-7.2373762633011482</c:v>
                </c:pt>
                <c:pt idx="607">
                  <c:v>-7.2374146794954637</c:v>
                </c:pt>
                <c:pt idx="608">
                  <c:v>-7.2374530954122749</c:v>
                </c:pt>
                <c:pt idx="609">
                  <c:v>-7.237491511051581</c:v>
                </c:pt>
                <c:pt idx="610">
                  <c:v>-7.2375299264133801</c:v>
                </c:pt>
                <c:pt idx="611">
                  <c:v>-7.2375683414976697</c:v>
                </c:pt>
                <c:pt idx="612">
                  <c:v>-7.2376067563044524</c:v>
                </c:pt>
                <c:pt idx="613">
                  <c:v>-7.2376451708337282</c:v>
                </c:pt>
                <c:pt idx="614">
                  <c:v>-7.2376835850854917</c:v>
                </c:pt>
                <c:pt idx="615">
                  <c:v>-7.237721999059743</c:v>
                </c:pt>
                <c:pt idx="616">
                  <c:v>-7.2377604127564865</c:v>
                </c:pt>
                <c:pt idx="617">
                  <c:v>-7.2377988261757151</c:v>
                </c:pt>
                <c:pt idx="618">
                  <c:v>-7.2378372393174333</c:v>
                </c:pt>
                <c:pt idx="619">
                  <c:v>-7.2378756521816374</c:v>
                </c:pt>
                <c:pt idx="620">
                  <c:v>-7.2379140647683231</c:v>
                </c:pt>
                <c:pt idx="621">
                  <c:v>-7.2379524770774966</c:v>
                </c:pt>
                <c:pt idx="622">
                  <c:v>-7.2379908891091489</c:v>
                </c:pt>
                <c:pt idx="623">
                  <c:v>-7.2380293008632863</c:v>
                </c:pt>
                <c:pt idx="624">
                  <c:v>-7.238067712339908</c:v>
                </c:pt>
                <c:pt idx="625">
                  <c:v>-7.2381061235390076</c:v>
                </c:pt>
                <c:pt idx="626">
                  <c:v>-7.2381445344605888</c:v>
                </c:pt>
                <c:pt idx="627">
                  <c:v>-7.238182945104648</c:v>
                </c:pt>
                <c:pt idx="628">
                  <c:v>-7.2382213554711852</c:v>
                </c:pt>
                <c:pt idx="629">
                  <c:v>-7.2382597655602048</c:v>
                </c:pt>
                <c:pt idx="630">
                  <c:v>-7.2382981753716953</c:v>
                </c:pt>
                <c:pt idx="631">
                  <c:v>-7.2383365849056611</c:v>
                </c:pt>
                <c:pt idx="632">
                  <c:v>-7.2383749941621023</c:v>
                </c:pt>
                <c:pt idx="633">
                  <c:v>-7.2384134031410188</c:v>
                </c:pt>
                <c:pt idx="634">
                  <c:v>-7.2384518118424106</c:v>
                </c:pt>
                <c:pt idx="635">
                  <c:v>-7.2384902202662742</c:v>
                </c:pt>
                <c:pt idx="636">
                  <c:v>-7.2385286284126087</c:v>
                </c:pt>
                <c:pt idx="637">
                  <c:v>-7.2385670362814132</c:v>
                </c:pt>
                <c:pt idx="638">
                  <c:v>-7.2386054438726903</c:v>
                </c:pt>
                <c:pt idx="639">
                  <c:v>-7.2386438511864357</c:v>
                </c:pt>
                <c:pt idx="640">
                  <c:v>-7.2386822582226475</c:v>
                </c:pt>
                <c:pt idx="641">
                  <c:v>-7.2387206649813285</c:v>
                </c:pt>
                <c:pt idx="642">
                  <c:v>-7.2387590714624768</c:v>
                </c:pt>
                <c:pt idx="643">
                  <c:v>-7.2387974776660915</c:v>
                </c:pt>
                <c:pt idx="644">
                  <c:v>-7.2388358835921682</c:v>
                </c:pt>
                <c:pt idx="645">
                  <c:v>-7.2388742892407123</c:v>
                </c:pt>
                <c:pt idx="646">
                  <c:v>-7.2389126946117157</c:v>
                </c:pt>
                <c:pt idx="647">
                  <c:v>-7.2389510997051847</c:v>
                </c:pt>
                <c:pt idx="648">
                  <c:v>-7.2389895045211139</c:v>
                </c:pt>
                <c:pt idx="649">
                  <c:v>-7.2390279090595042</c:v>
                </c:pt>
                <c:pt idx="650">
                  <c:v>-7.2390663133203557</c:v>
                </c:pt>
                <c:pt idx="651">
                  <c:v>-7.2391047173036647</c:v>
                </c:pt>
                <c:pt idx="652">
                  <c:v>-7.2391431210094339</c:v>
                </c:pt>
                <c:pt idx="653">
                  <c:v>-7.2391815244376616</c:v>
                </c:pt>
                <c:pt idx="654">
                  <c:v>-7.2392199275883433</c:v>
                </c:pt>
                <c:pt idx="655">
                  <c:v>-7.239258330461479</c:v>
                </c:pt>
                <c:pt idx="656">
                  <c:v>-7.2392967330570723</c:v>
                </c:pt>
                <c:pt idx="657">
                  <c:v>-7.239335135375117</c:v>
                </c:pt>
                <c:pt idx="658">
                  <c:v>-7.2393735374156201</c:v>
                </c:pt>
                <c:pt idx="659">
                  <c:v>-7.2394119391785718</c:v>
                </c:pt>
                <c:pt idx="660">
                  <c:v>-7.2394503406639767</c:v>
                </c:pt>
                <c:pt idx="661">
                  <c:v>-7.2394887418718312</c:v>
                </c:pt>
                <c:pt idx="662">
                  <c:v>-7.239527142802137</c:v>
                </c:pt>
                <c:pt idx="663">
                  <c:v>-7.2395655434548898</c:v>
                </c:pt>
                <c:pt idx="664">
                  <c:v>-7.2396039438300912</c:v>
                </c:pt>
                <c:pt idx="665">
                  <c:v>-7.2396423439277413</c:v>
                </c:pt>
                <c:pt idx="666">
                  <c:v>-7.2396807437478374</c:v>
                </c:pt>
                <c:pt idx="667">
                  <c:v>-7.2397191432903787</c:v>
                </c:pt>
                <c:pt idx="668">
                  <c:v>-7.2397575425553651</c:v>
                </c:pt>
                <c:pt idx="669">
                  <c:v>-7.2397959415427957</c:v>
                </c:pt>
                <c:pt idx="670">
                  <c:v>-7.2398343402526706</c:v>
                </c:pt>
                <c:pt idx="671">
                  <c:v>-7.239872738684987</c:v>
                </c:pt>
                <c:pt idx="672">
                  <c:v>-7.2399111368397469</c:v>
                </c:pt>
                <c:pt idx="673">
                  <c:v>-7.239949534716942</c:v>
                </c:pt>
                <c:pt idx="674">
                  <c:v>-7.2399879323165806</c:v>
                </c:pt>
                <c:pt idx="675">
                  <c:v>-7.2400263296386616</c:v>
                </c:pt>
                <c:pt idx="676">
                  <c:v>-7.2400647266831779</c:v>
                </c:pt>
                <c:pt idx="677">
                  <c:v>-7.2401031234501279</c:v>
                </c:pt>
                <c:pt idx="678">
                  <c:v>-7.2401415199395149</c:v>
                </c:pt>
                <c:pt idx="679">
                  <c:v>-7.2401799161513409</c:v>
                </c:pt>
                <c:pt idx="680">
                  <c:v>-7.2402183120856014</c:v>
                </c:pt>
                <c:pt idx="681">
                  <c:v>-7.2402567077422946</c:v>
                </c:pt>
                <c:pt idx="682">
                  <c:v>-7.2402951031214204</c:v>
                </c:pt>
                <c:pt idx="683">
                  <c:v>-7.2403334982229817</c:v>
                </c:pt>
                <c:pt idx="684">
                  <c:v>-7.2403718930469738</c:v>
                </c:pt>
                <c:pt idx="685">
                  <c:v>-7.2404102875933924</c:v>
                </c:pt>
                <c:pt idx="686">
                  <c:v>-7.2404486818622438</c:v>
                </c:pt>
                <c:pt idx="687">
                  <c:v>-7.2404870758535242</c:v>
                </c:pt>
                <c:pt idx="688">
                  <c:v>-7.2405254695672348</c:v>
                </c:pt>
                <c:pt idx="689">
                  <c:v>-7.2405638630033708</c:v>
                </c:pt>
                <c:pt idx="690">
                  <c:v>-7.2406022561619334</c:v>
                </c:pt>
                <c:pt idx="691">
                  <c:v>-7.240640649042918</c:v>
                </c:pt>
                <c:pt idx="692">
                  <c:v>-7.2406790416463362</c:v>
                </c:pt>
                <c:pt idx="693">
                  <c:v>-7.2407174339721685</c:v>
                </c:pt>
                <c:pt idx="694">
                  <c:v>-7.2407558260204281</c:v>
                </c:pt>
                <c:pt idx="695">
                  <c:v>-7.2407942177911107</c:v>
                </c:pt>
                <c:pt idx="696">
                  <c:v>-7.2408326092842143</c:v>
                </c:pt>
                <c:pt idx="697">
                  <c:v>-7.2408710004997401</c:v>
                </c:pt>
                <c:pt idx="698">
                  <c:v>-7.2409093914376843</c:v>
                </c:pt>
                <c:pt idx="699">
                  <c:v>-7.2409477820980461</c:v>
                </c:pt>
                <c:pt idx="700">
                  <c:v>-7.2409861724808273</c:v>
                </c:pt>
                <c:pt idx="701">
                  <c:v>-7.2410245625860243</c:v>
                </c:pt>
                <c:pt idx="702">
                  <c:v>-7.2410629524136425</c:v>
                </c:pt>
                <c:pt idx="703">
                  <c:v>-7.2411013419636712</c:v>
                </c:pt>
                <c:pt idx="704">
                  <c:v>-7.2411397312361148</c:v>
                </c:pt>
                <c:pt idx="705">
                  <c:v>-7.2411781202309768</c:v>
                </c:pt>
                <c:pt idx="706">
                  <c:v>-7.2412165089482459</c:v>
                </c:pt>
                <c:pt idx="707">
                  <c:v>-7.2412548973879316</c:v>
                </c:pt>
                <c:pt idx="708">
                  <c:v>-7.2412932855500296</c:v>
                </c:pt>
                <c:pt idx="709">
                  <c:v>-7.2413316734345354</c:v>
                </c:pt>
                <c:pt idx="710">
                  <c:v>-7.2413700610414544</c:v>
                </c:pt>
                <c:pt idx="711">
                  <c:v>-7.2414084483707786</c:v>
                </c:pt>
                <c:pt idx="712">
                  <c:v>-7.2414468354225123</c:v>
                </c:pt>
                <c:pt idx="713">
                  <c:v>-7.241485222196653</c:v>
                </c:pt>
                <c:pt idx="714">
                  <c:v>-7.2415236086932016</c:v>
                </c:pt>
                <c:pt idx="715">
                  <c:v>-7.2415619949121535</c:v>
                </c:pt>
                <c:pt idx="716">
                  <c:v>-7.2416003808535123</c:v>
                </c:pt>
                <c:pt idx="717">
                  <c:v>-7.2416387665172737</c:v>
                </c:pt>
                <c:pt idx="718">
                  <c:v>-7.2416771519034384</c:v>
                </c:pt>
                <c:pt idx="719">
                  <c:v>-7.2417155370120039</c:v>
                </c:pt>
                <c:pt idx="720">
                  <c:v>-7.2417539218429763</c:v>
                </c:pt>
                <c:pt idx="721">
                  <c:v>-7.241792306396345</c:v>
                </c:pt>
                <c:pt idx="722">
                  <c:v>-7.2418306906721117</c:v>
                </c:pt>
                <c:pt idx="723">
                  <c:v>-7.2418690746702827</c:v>
                </c:pt>
                <c:pt idx="724">
                  <c:v>-7.2419074583908483</c:v>
                </c:pt>
                <c:pt idx="725">
                  <c:v>-7.2419458418338127</c:v>
                </c:pt>
                <c:pt idx="726">
                  <c:v>-7.2419842249991735</c:v>
                </c:pt>
                <c:pt idx="727">
                  <c:v>-7.242022607886927</c:v>
                </c:pt>
                <c:pt idx="728">
                  <c:v>-7.2420609904970759</c:v>
                </c:pt>
                <c:pt idx="729">
                  <c:v>-7.2420993728296184</c:v>
                </c:pt>
                <c:pt idx="730">
                  <c:v>-7.242137754884558</c:v>
                </c:pt>
                <c:pt idx="731">
                  <c:v>-7.2421761366618886</c:v>
                </c:pt>
                <c:pt idx="732">
                  <c:v>-7.2422145181616093</c:v>
                </c:pt>
                <c:pt idx="733">
                  <c:v>-7.2422528993837201</c:v>
                </c:pt>
                <c:pt idx="734">
                  <c:v>-7.2422912803282244</c:v>
                </c:pt>
                <c:pt idx="735">
                  <c:v>-7.2423296609951127</c:v>
                </c:pt>
                <c:pt idx="736">
                  <c:v>-7.2423680413843936</c:v>
                </c:pt>
                <c:pt idx="737">
                  <c:v>-7.2424064214960602</c:v>
                </c:pt>
                <c:pt idx="738">
                  <c:v>-7.2424448013301106</c:v>
                </c:pt>
                <c:pt idx="739">
                  <c:v>-7.2424831808865493</c:v>
                </c:pt>
                <c:pt idx="740">
                  <c:v>-7.2425215601653745</c:v>
                </c:pt>
                <c:pt idx="741">
                  <c:v>-7.24255993916658</c:v>
                </c:pt>
                <c:pt idx="742">
                  <c:v>-7.2425983178901676</c:v>
                </c:pt>
                <c:pt idx="743">
                  <c:v>-7.2426366963361417</c:v>
                </c:pt>
                <c:pt idx="744">
                  <c:v>-7.2426750745044961</c:v>
                </c:pt>
                <c:pt idx="745">
                  <c:v>-7.2427134523952326</c:v>
                </c:pt>
                <c:pt idx="746">
                  <c:v>-7.2427518300083484</c:v>
                </c:pt>
                <c:pt idx="747">
                  <c:v>-7.2427902073438419</c:v>
                </c:pt>
                <c:pt idx="748">
                  <c:v>-7.2428285844017157</c:v>
                </c:pt>
                <c:pt idx="749">
                  <c:v>-7.2428669611819654</c:v>
                </c:pt>
                <c:pt idx="750">
                  <c:v>-7.2429053376845891</c:v>
                </c:pt>
                <c:pt idx="751">
                  <c:v>-7.242943713909594</c:v>
                </c:pt>
                <c:pt idx="752">
                  <c:v>-7.2429820898569677</c:v>
                </c:pt>
                <c:pt idx="753">
                  <c:v>-7.243020465526719</c:v>
                </c:pt>
                <c:pt idx="754">
                  <c:v>-7.2430588409188426</c:v>
                </c:pt>
                <c:pt idx="755">
                  <c:v>-7.2430972160333376</c:v>
                </c:pt>
                <c:pt idx="756">
                  <c:v>-7.2431355908702022</c:v>
                </c:pt>
                <c:pt idx="757">
                  <c:v>-7.2431739654294418</c:v>
                </c:pt>
                <c:pt idx="758">
                  <c:v>-7.2432123397110511</c:v>
                </c:pt>
                <c:pt idx="759">
                  <c:v>-7.2432507137150255</c:v>
                </c:pt>
                <c:pt idx="760">
                  <c:v>-7.2432890874413687</c:v>
                </c:pt>
                <c:pt idx="761">
                  <c:v>-7.2433274608900842</c:v>
                </c:pt>
                <c:pt idx="762">
                  <c:v>-7.2433658340611604</c:v>
                </c:pt>
                <c:pt idx="763">
                  <c:v>-7.2434042069546072</c:v>
                </c:pt>
                <c:pt idx="764">
                  <c:v>-7.2434425795704165</c:v>
                </c:pt>
                <c:pt idx="765">
                  <c:v>-7.243480951908591</c:v>
                </c:pt>
                <c:pt idx="766">
                  <c:v>-7.2435193239691245</c:v>
                </c:pt>
                <c:pt idx="767">
                  <c:v>-7.2435576957520222</c:v>
                </c:pt>
                <c:pt idx="768">
                  <c:v>-7.2435960672572843</c:v>
                </c:pt>
                <c:pt idx="769">
                  <c:v>-7.2436344384849045</c:v>
                </c:pt>
                <c:pt idx="770">
                  <c:v>-7.2436728094348872</c:v>
                </c:pt>
                <c:pt idx="771">
                  <c:v>-7.2437111801072245</c:v>
                </c:pt>
                <c:pt idx="772">
                  <c:v>-7.243749550501926</c:v>
                </c:pt>
                <c:pt idx="773">
                  <c:v>-7.2437879206189804</c:v>
                </c:pt>
                <c:pt idx="774">
                  <c:v>-7.2438262904583937</c:v>
                </c:pt>
                <c:pt idx="775">
                  <c:v>-7.2438646600201633</c:v>
                </c:pt>
                <c:pt idx="776">
                  <c:v>-7.2439030293042865</c:v>
                </c:pt>
                <c:pt idx="777">
                  <c:v>-7.2439413983107626</c:v>
                </c:pt>
                <c:pt idx="778">
                  <c:v>-7.2439797670395949</c:v>
                </c:pt>
                <c:pt idx="779">
                  <c:v>-7.2440181354907764</c:v>
                </c:pt>
                <c:pt idx="780">
                  <c:v>-7.244056503664309</c:v>
                </c:pt>
                <c:pt idx="781">
                  <c:v>-7.2440948715601952</c:v>
                </c:pt>
                <c:pt idx="782">
                  <c:v>-7.2441332391784288</c:v>
                </c:pt>
                <c:pt idx="783">
                  <c:v>-7.2441716065190143</c:v>
                </c:pt>
                <c:pt idx="784">
                  <c:v>-7.244209973581949</c:v>
                </c:pt>
                <c:pt idx="785">
                  <c:v>-7.2442483403672302</c:v>
                </c:pt>
                <c:pt idx="786">
                  <c:v>-7.2442867068748562</c:v>
                </c:pt>
                <c:pt idx="787">
                  <c:v>-7.2443250731048323</c:v>
                </c:pt>
                <c:pt idx="788">
                  <c:v>-7.2443634390571461</c:v>
                </c:pt>
                <c:pt idx="789">
                  <c:v>-7.2444018047318082</c:v>
                </c:pt>
                <c:pt idx="790">
                  <c:v>-7.2444401701288115</c:v>
                </c:pt>
                <c:pt idx="791">
                  <c:v>-7.2444785352481613</c:v>
                </c:pt>
                <c:pt idx="792">
                  <c:v>-7.2445169000898497</c:v>
                </c:pt>
                <c:pt idx="793">
                  <c:v>-7.2445552646538793</c:v>
                </c:pt>
                <c:pt idx="794">
                  <c:v>-7.2445936289402502</c:v>
                </c:pt>
                <c:pt idx="795">
                  <c:v>-7.2446319929489613</c:v>
                </c:pt>
                <c:pt idx="796">
                  <c:v>-7.2446703566800075</c:v>
                </c:pt>
                <c:pt idx="797">
                  <c:v>-7.2447087201333922</c:v>
                </c:pt>
                <c:pt idx="798">
                  <c:v>-7.2447470833091154</c:v>
                </c:pt>
                <c:pt idx="799">
                  <c:v>-7.2447854462071719</c:v>
                </c:pt>
                <c:pt idx="800">
                  <c:v>-7.2448238088275634</c:v>
                </c:pt>
                <c:pt idx="801">
                  <c:v>-7.2448621711702916</c:v>
                </c:pt>
                <c:pt idx="802">
                  <c:v>-7.2449005332353513</c:v>
                </c:pt>
                <c:pt idx="803">
                  <c:v>-7.2449388950227442</c:v>
                </c:pt>
                <c:pt idx="804">
                  <c:v>-7.2449772565324668</c:v>
                </c:pt>
                <c:pt idx="805">
                  <c:v>-7.2450156177645253</c:v>
                </c:pt>
                <c:pt idx="806">
                  <c:v>-7.2450539787189063</c:v>
                </c:pt>
                <c:pt idx="807">
                  <c:v>-7.245092339395625</c:v>
                </c:pt>
                <c:pt idx="808">
                  <c:v>-7.2451306997946663</c:v>
                </c:pt>
                <c:pt idx="809">
                  <c:v>-7.2451690599160363</c:v>
                </c:pt>
                <c:pt idx="810">
                  <c:v>-7.2452074197597343</c:v>
                </c:pt>
                <c:pt idx="811">
                  <c:v>-7.245245779325761</c:v>
                </c:pt>
                <c:pt idx="812">
                  <c:v>-7.2452841386141076</c:v>
                </c:pt>
                <c:pt idx="813">
                  <c:v>-7.2453224976247785</c:v>
                </c:pt>
                <c:pt idx="814">
                  <c:v>-7.2453608563577774</c:v>
                </c:pt>
                <c:pt idx="815">
                  <c:v>-7.2453992148130926</c:v>
                </c:pt>
                <c:pt idx="816">
                  <c:v>-7.2454375729907357</c:v>
                </c:pt>
                <c:pt idx="817">
                  <c:v>-7.2454759308906969</c:v>
                </c:pt>
                <c:pt idx="818">
                  <c:v>-7.2455142885129815</c:v>
                </c:pt>
                <c:pt idx="819">
                  <c:v>-7.2455526458575816</c:v>
                </c:pt>
                <c:pt idx="820">
                  <c:v>-7.2455910029245025</c:v>
                </c:pt>
                <c:pt idx="821">
                  <c:v>-7.2456293597137389</c:v>
                </c:pt>
                <c:pt idx="822">
                  <c:v>-7.2456677162252943</c:v>
                </c:pt>
                <c:pt idx="823">
                  <c:v>-7.2457060724591642</c:v>
                </c:pt>
                <c:pt idx="824">
                  <c:v>-7.2457444284153523</c:v>
                </c:pt>
                <c:pt idx="825">
                  <c:v>-7.2457827840938522</c:v>
                </c:pt>
                <c:pt idx="826">
                  <c:v>-7.2458211394946677</c:v>
                </c:pt>
                <c:pt idx="827">
                  <c:v>-7.2458594946177923</c:v>
                </c:pt>
                <c:pt idx="828">
                  <c:v>-7.2458978494632298</c:v>
                </c:pt>
                <c:pt idx="829">
                  <c:v>-7.2459362040309783</c:v>
                </c:pt>
                <c:pt idx="830">
                  <c:v>-7.2459745583210378</c:v>
                </c:pt>
                <c:pt idx="831">
                  <c:v>-7.2460129123334047</c:v>
                </c:pt>
                <c:pt idx="832">
                  <c:v>-7.2460512660680827</c:v>
                </c:pt>
                <c:pt idx="833">
                  <c:v>-7.2460896195250664</c:v>
                </c:pt>
                <c:pt idx="834">
                  <c:v>-7.2461279727043602</c:v>
                </c:pt>
                <c:pt idx="835">
                  <c:v>-7.2461663256059596</c:v>
                </c:pt>
                <c:pt idx="836">
                  <c:v>-7.2462046782298648</c:v>
                </c:pt>
                <c:pt idx="837">
                  <c:v>-7.2462430305760721</c:v>
                </c:pt>
                <c:pt idx="838">
                  <c:v>-7.2462813826445833</c:v>
                </c:pt>
                <c:pt idx="839">
                  <c:v>-7.2463197344353976</c:v>
                </c:pt>
                <c:pt idx="840">
                  <c:v>-7.2463580859485175</c:v>
                </c:pt>
                <c:pt idx="841">
                  <c:v>-7.2463964371839342</c:v>
                </c:pt>
                <c:pt idx="842">
                  <c:v>-7.2464347881416487</c:v>
                </c:pt>
                <c:pt idx="843">
                  <c:v>-7.2464731388216697</c:v>
                </c:pt>
                <c:pt idx="844">
                  <c:v>-7.2465114892239857</c:v>
                </c:pt>
                <c:pt idx="845">
                  <c:v>-7.2465498393485994</c:v>
                </c:pt>
                <c:pt idx="846">
                  <c:v>-7.24658818919551</c:v>
                </c:pt>
                <c:pt idx="847">
                  <c:v>-7.2466265387647173</c:v>
                </c:pt>
                <c:pt idx="848">
                  <c:v>-7.2466648880562206</c:v>
                </c:pt>
                <c:pt idx="849">
                  <c:v>-7.2467032370700171</c:v>
                </c:pt>
                <c:pt idx="850">
                  <c:v>-7.2467415858061077</c:v>
                </c:pt>
                <c:pt idx="851">
                  <c:v>-7.246779934264489</c:v>
                </c:pt>
                <c:pt idx="852">
                  <c:v>-7.2468182824451661</c:v>
                </c:pt>
                <c:pt idx="853">
                  <c:v>-7.2468566303481339</c:v>
                </c:pt>
                <c:pt idx="854">
                  <c:v>-7.2468949779733922</c:v>
                </c:pt>
                <c:pt idx="855">
                  <c:v>-7.2469333253209376</c:v>
                </c:pt>
                <c:pt idx="856">
                  <c:v>-7.2469716723907771</c:v>
                </c:pt>
                <c:pt idx="857">
                  <c:v>-7.2470100191829028</c:v>
                </c:pt>
                <c:pt idx="858">
                  <c:v>-7.2470483656973128</c:v>
                </c:pt>
                <c:pt idx="859">
                  <c:v>-7.2470867119340081</c:v>
                </c:pt>
                <c:pt idx="860">
                  <c:v>-7.2471250578929922</c:v>
                </c:pt>
                <c:pt idx="861">
                  <c:v>-7.247163403574258</c:v>
                </c:pt>
                <c:pt idx="862">
                  <c:v>-7.24720174897781</c:v>
                </c:pt>
                <c:pt idx="863">
                  <c:v>-7.2472400941036428</c:v>
                </c:pt>
                <c:pt idx="864">
                  <c:v>-7.2472784389517608</c:v>
                </c:pt>
                <c:pt idx="865">
                  <c:v>-7.247316783522157</c:v>
                </c:pt>
                <c:pt idx="866">
                  <c:v>-7.247355127814842</c:v>
                </c:pt>
                <c:pt idx="867">
                  <c:v>-7.2473934718297972</c:v>
                </c:pt>
                <c:pt idx="868">
                  <c:v>-7.2474318155670368</c:v>
                </c:pt>
                <c:pt idx="869">
                  <c:v>-7.2474701590265491</c:v>
                </c:pt>
                <c:pt idx="870">
                  <c:v>-7.2475085022083432</c:v>
                </c:pt>
                <c:pt idx="871">
                  <c:v>-7.2475468451124154</c:v>
                </c:pt>
                <c:pt idx="872">
                  <c:v>-7.2475851877387587</c:v>
                </c:pt>
                <c:pt idx="873">
                  <c:v>-7.2476235300873766</c:v>
                </c:pt>
                <c:pt idx="874">
                  <c:v>-7.2476618721582708</c:v>
                </c:pt>
                <c:pt idx="875">
                  <c:v>-7.2477002139514379</c:v>
                </c:pt>
                <c:pt idx="876">
                  <c:v>-7.2477385554668778</c:v>
                </c:pt>
                <c:pt idx="877">
                  <c:v>-7.2477768967045888</c:v>
                </c:pt>
                <c:pt idx="878">
                  <c:v>-7.2478152376645699</c:v>
                </c:pt>
                <c:pt idx="879">
                  <c:v>-7.2478535783468239</c:v>
                </c:pt>
                <c:pt idx="880">
                  <c:v>-7.2478919187513435</c:v>
                </c:pt>
                <c:pt idx="881">
                  <c:v>-7.2479302588781334</c:v>
                </c:pt>
                <c:pt idx="882">
                  <c:v>-7.2479685987271907</c:v>
                </c:pt>
                <c:pt idx="883">
                  <c:v>-7.2480069382985119</c:v>
                </c:pt>
                <c:pt idx="884">
                  <c:v>-7.2480452775921016</c:v>
                </c:pt>
                <c:pt idx="885">
                  <c:v>-7.2480836166079543</c:v>
                </c:pt>
                <c:pt idx="886">
                  <c:v>-7.2481219553460701</c:v>
                </c:pt>
                <c:pt idx="887">
                  <c:v>-7.2481602938064533</c:v>
                </c:pt>
                <c:pt idx="888">
                  <c:v>-7.2481986319890943</c:v>
                </c:pt>
                <c:pt idx="889">
                  <c:v>-7.2482369698940001</c:v>
                </c:pt>
                <c:pt idx="890">
                  <c:v>-7.2482753075211672</c:v>
                </c:pt>
                <c:pt idx="891">
                  <c:v>-7.248313644870592</c:v>
                </c:pt>
                <c:pt idx="892">
                  <c:v>-7.2483519819422773</c:v>
                </c:pt>
                <c:pt idx="893">
                  <c:v>-7.2483903187362237</c:v>
                </c:pt>
                <c:pt idx="894">
                  <c:v>-7.2484286552524244</c:v>
                </c:pt>
                <c:pt idx="895">
                  <c:v>-7.2484669914908793</c:v>
                </c:pt>
                <c:pt idx="896">
                  <c:v>-7.2485053274515909</c:v>
                </c:pt>
                <c:pt idx="897">
                  <c:v>-7.2485436631345621</c:v>
                </c:pt>
                <c:pt idx="898">
                  <c:v>-7.2485819985397857</c:v>
                </c:pt>
                <c:pt idx="899">
                  <c:v>-7.2486203336672625</c:v>
                </c:pt>
                <c:pt idx="900">
                  <c:v>-7.2486586685169918</c:v>
                </c:pt>
                <c:pt idx="901">
                  <c:v>-7.2486970030889744</c:v>
                </c:pt>
                <c:pt idx="902">
                  <c:v>-7.2487353373832084</c:v>
                </c:pt>
                <c:pt idx="903">
                  <c:v>-7.2487736713996913</c:v>
                </c:pt>
                <c:pt idx="904">
                  <c:v>-7.2488120051384204</c:v>
                </c:pt>
                <c:pt idx="905">
                  <c:v>-7.248850338599401</c:v>
                </c:pt>
                <c:pt idx="906">
                  <c:v>-7.2488886717826286</c:v>
                </c:pt>
                <c:pt idx="907">
                  <c:v>-7.2489270046881042</c:v>
                </c:pt>
                <c:pt idx="908">
                  <c:v>-7.2489653373158234</c:v>
                </c:pt>
                <c:pt idx="909">
                  <c:v>-7.2490036696657922</c:v>
                </c:pt>
                <c:pt idx="910">
                  <c:v>-7.2490420017379984</c:v>
                </c:pt>
                <c:pt idx="911">
                  <c:v>-7.2490803335324552</c:v>
                </c:pt>
                <c:pt idx="912">
                  <c:v>-7.2491186650491493</c:v>
                </c:pt>
                <c:pt idx="913">
                  <c:v>-7.2491569962880886</c:v>
                </c:pt>
                <c:pt idx="914">
                  <c:v>-7.2491953272492688</c:v>
                </c:pt>
                <c:pt idx="915">
                  <c:v>-7.2492336579326873</c:v>
                </c:pt>
                <c:pt idx="916">
                  <c:v>-7.2492719883383465</c:v>
                </c:pt>
                <c:pt idx="917">
                  <c:v>-7.2493103184662457</c:v>
                </c:pt>
                <c:pt idx="918">
                  <c:v>-7.2493486483163805</c:v>
                </c:pt>
                <c:pt idx="919">
                  <c:v>-7.249386977888757</c:v>
                </c:pt>
                <c:pt idx="920">
                  <c:v>-7.2494253071833654</c:v>
                </c:pt>
                <c:pt idx="921">
                  <c:v>-7.2494636362002094</c:v>
                </c:pt>
                <c:pt idx="922">
                  <c:v>-7.249501964939288</c:v>
                </c:pt>
                <c:pt idx="923">
                  <c:v>-7.249540293400603</c:v>
                </c:pt>
                <c:pt idx="924">
                  <c:v>-7.2495786215841447</c:v>
                </c:pt>
                <c:pt idx="925">
                  <c:v>-7.2496169494899281</c:v>
                </c:pt>
                <c:pt idx="926">
                  <c:v>-7.2496552771179354</c:v>
                </c:pt>
                <c:pt idx="927">
                  <c:v>-7.2496936044681766</c:v>
                </c:pt>
                <c:pt idx="928">
                  <c:v>-7.249731931540647</c:v>
                </c:pt>
                <c:pt idx="929">
                  <c:v>-7.2497702583353449</c:v>
                </c:pt>
                <c:pt idx="930">
                  <c:v>-7.2498085848522722</c:v>
                </c:pt>
                <c:pt idx="931">
                  <c:v>-7.249846911091427</c:v>
                </c:pt>
                <c:pt idx="932">
                  <c:v>-7.2498852370528057</c:v>
                </c:pt>
                <c:pt idx="933">
                  <c:v>-7.2499235627364129</c:v>
                </c:pt>
                <c:pt idx="934">
                  <c:v>-7.2499618881422423</c:v>
                </c:pt>
                <c:pt idx="935">
                  <c:v>-7.2500002132702965</c:v>
                </c:pt>
                <c:pt idx="936">
                  <c:v>-7.250038538120573</c:v>
                </c:pt>
                <c:pt idx="937">
                  <c:v>-7.2500768626930761</c:v>
                </c:pt>
                <c:pt idx="938">
                  <c:v>-7.2501151869877969</c:v>
                </c:pt>
                <c:pt idx="939">
                  <c:v>-7.2501535110047408</c:v>
                </c:pt>
                <c:pt idx="940">
                  <c:v>-7.2501918347439007</c:v>
                </c:pt>
                <c:pt idx="941">
                  <c:v>-7.2502301582052793</c:v>
                </c:pt>
                <c:pt idx="942">
                  <c:v>-7.2502684813888818</c:v>
                </c:pt>
                <c:pt idx="943">
                  <c:v>-7.2503068042946976</c:v>
                </c:pt>
                <c:pt idx="944">
                  <c:v>-7.250345126922733</c:v>
                </c:pt>
                <c:pt idx="945">
                  <c:v>-7.25038344927298</c:v>
                </c:pt>
                <c:pt idx="946">
                  <c:v>-7.2504217713454491</c:v>
                </c:pt>
                <c:pt idx="947">
                  <c:v>-7.2504600931401244</c:v>
                </c:pt>
                <c:pt idx="948">
                  <c:v>-7.2504984146570157</c:v>
                </c:pt>
                <c:pt idx="949">
                  <c:v>-7.2505367358961186</c:v>
                </c:pt>
                <c:pt idx="950">
                  <c:v>-7.2505750568574383</c:v>
                </c:pt>
                <c:pt idx="951">
                  <c:v>-7.2506133775409616</c:v>
                </c:pt>
                <c:pt idx="952">
                  <c:v>-7.2506516979466982</c:v>
                </c:pt>
                <c:pt idx="953">
                  <c:v>-7.2506900180746428</c:v>
                </c:pt>
                <c:pt idx="954">
                  <c:v>-7.2507283379247971</c:v>
                </c:pt>
                <c:pt idx="955">
                  <c:v>-7.2507666574971594</c:v>
                </c:pt>
                <c:pt idx="956">
                  <c:v>-7.2508049767917289</c:v>
                </c:pt>
                <c:pt idx="957">
                  <c:v>-7.2508432958085027</c:v>
                </c:pt>
                <c:pt idx="958">
                  <c:v>-7.2508816145474846</c:v>
                </c:pt>
                <c:pt idx="959">
                  <c:v>-7.2509199330086682</c:v>
                </c:pt>
                <c:pt idx="960">
                  <c:v>-7.2509582511920545</c:v>
                </c:pt>
                <c:pt idx="961">
                  <c:v>-7.2509965690976479</c:v>
                </c:pt>
                <c:pt idx="962">
                  <c:v>-7.2510348867254395</c:v>
                </c:pt>
                <c:pt idx="963">
                  <c:v>-7.2510732040754329</c:v>
                </c:pt>
                <c:pt idx="964">
                  <c:v>-7.2511115211476271</c:v>
                </c:pt>
                <c:pt idx="965">
                  <c:v>-7.2511498379420196</c:v>
                </c:pt>
                <c:pt idx="966">
                  <c:v>-7.2511881544586148</c:v>
                </c:pt>
                <c:pt idx="967">
                  <c:v>-7.2512264706974001</c:v>
                </c:pt>
                <c:pt idx="968">
                  <c:v>-7.2512647866583873</c:v>
                </c:pt>
                <c:pt idx="969">
                  <c:v>-7.2513031023415682</c:v>
                </c:pt>
                <c:pt idx="970">
                  <c:v>-7.2513414177469491</c:v>
                </c:pt>
                <c:pt idx="971">
                  <c:v>-7.2513797328745184</c:v>
                </c:pt>
                <c:pt idx="972">
                  <c:v>-7.2514180477242869</c:v>
                </c:pt>
                <c:pt idx="973">
                  <c:v>-7.2514563622962465</c:v>
                </c:pt>
                <c:pt idx="974">
                  <c:v>-7.2514946765903998</c:v>
                </c:pt>
                <c:pt idx="975">
                  <c:v>-7.2515329906067398</c:v>
                </c:pt>
                <c:pt idx="976">
                  <c:v>-7.2515713043452745</c:v>
                </c:pt>
                <c:pt idx="977">
                  <c:v>-7.2516096178059941</c:v>
                </c:pt>
                <c:pt idx="978">
                  <c:v>-7.2516479309889075</c:v>
                </c:pt>
                <c:pt idx="979">
                  <c:v>-7.2516862438940057</c:v>
                </c:pt>
                <c:pt idx="980">
                  <c:v>-7.2517245565212916</c:v>
                </c:pt>
                <c:pt idx="981">
                  <c:v>-7.251762868870764</c:v>
                </c:pt>
                <c:pt idx="982">
                  <c:v>-7.2518011809424223</c:v>
                </c:pt>
                <c:pt idx="983">
                  <c:v>-7.2518394927362673</c:v>
                </c:pt>
                <c:pt idx="984">
                  <c:v>-7.2518778042522927</c:v>
                </c:pt>
                <c:pt idx="985">
                  <c:v>-7.2519161154905065</c:v>
                </c:pt>
                <c:pt idx="986">
                  <c:v>-7.2519544264508973</c:v>
                </c:pt>
                <c:pt idx="987">
                  <c:v>-7.251992737133472</c:v>
                </c:pt>
                <c:pt idx="988">
                  <c:v>-7.2520310475382264</c:v>
                </c:pt>
                <c:pt idx="989">
                  <c:v>-7.2520693576651603</c:v>
                </c:pt>
                <c:pt idx="990">
                  <c:v>-7.2521076675142755</c:v>
                </c:pt>
                <c:pt idx="991">
                  <c:v>-7.2521459770855667</c:v>
                </c:pt>
                <c:pt idx="992">
                  <c:v>-7.2521842863790367</c:v>
                </c:pt>
                <c:pt idx="993">
                  <c:v>-7.2522225953946835</c:v>
                </c:pt>
                <c:pt idx="994">
                  <c:v>-7.2522609041325055</c:v>
                </c:pt>
                <c:pt idx="995">
                  <c:v>-7.2522992125925008</c:v>
                </c:pt>
                <c:pt idx="996">
                  <c:v>-7.2523375207746721</c:v>
                </c:pt>
                <c:pt idx="997">
                  <c:v>-7.2523758286790159</c:v>
                </c:pt>
                <c:pt idx="998">
                  <c:v>-7.252414136305533</c:v>
                </c:pt>
                <c:pt idx="999">
                  <c:v>-7.2524524436542217</c:v>
                </c:pt>
                <c:pt idx="1000">
                  <c:v>-7.2524907507250838</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33.900100000000215</c:v>
                </c:pt>
                <c:pt idx="521">
                  <c:v>33.900200000000218</c:v>
                </c:pt>
                <c:pt idx="522">
                  <c:v>33.900300000000222</c:v>
                </c:pt>
                <c:pt idx="523">
                  <c:v>33.900400000000225</c:v>
                </c:pt>
                <c:pt idx="524">
                  <c:v>33.900500000000228</c:v>
                </c:pt>
                <c:pt idx="525">
                  <c:v>33.900600000000232</c:v>
                </c:pt>
                <c:pt idx="526">
                  <c:v>33.900700000000235</c:v>
                </c:pt>
                <c:pt idx="527">
                  <c:v>33.900800000000238</c:v>
                </c:pt>
                <c:pt idx="528">
                  <c:v>33.900900000000242</c:v>
                </c:pt>
                <c:pt idx="529">
                  <c:v>33.901000000000245</c:v>
                </c:pt>
                <c:pt idx="530">
                  <c:v>33.901100000000248</c:v>
                </c:pt>
                <c:pt idx="531">
                  <c:v>33.901200000000252</c:v>
                </c:pt>
                <c:pt idx="532">
                  <c:v>33.901300000000255</c:v>
                </c:pt>
                <c:pt idx="533">
                  <c:v>33.901400000000258</c:v>
                </c:pt>
                <c:pt idx="534">
                  <c:v>33.901500000000262</c:v>
                </c:pt>
                <c:pt idx="535">
                  <c:v>33.901600000000265</c:v>
                </c:pt>
                <c:pt idx="536">
                  <c:v>33.901700000000268</c:v>
                </c:pt>
                <c:pt idx="537">
                  <c:v>33.901800000000271</c:v>
                </c:pt>
                <c:pt idx="538">
                  <c:v>33.901900000000275</c:v>
                </c:pt>
                <c:pt idx="539">
                  <c:v>33.902000000000278</c:v>
                </c:pt>
                <c:pt idx="540">
                  <c:v>33.902100000000281</c:v>
                </c:pt>
                <c:pt idx="541">
                  <c:v>33.902200000000285</c:v>
                </c:pt>
                <c:pt idx="542">
                  <c:v>33.902300000000288</c:v>
                </c:pt>
                <c:pt idx="543">
                  <c:v>33.902400000000291</c:v>
                </c:pt>
                <c:pt idx="544">
                  <c:v>33.902500000000295</c:v>
                </c:pt>
                <c:pt idx="545">
                  <c:v>33.902600000000298</c:v>
                </c:pt>
                <c:pt idx="546">
                  <c:v>33.902700000000301</c:v>
                </c:pt>
                <c:pt idx="547">
                  <c:v>33.902800000000305</c:v>
                </c:pt>
                <c:pt idx="548">
                  <c:v>33.902900000000308</c:v>
                </c:pt>
                <c:pt idx="549">
                  <c:v>33.903000000000311</c:v>
                </c:pt>
                <c:pt idx="550">
                  <c:v>33.903100000000315</c:v>
                </c:pt>
                <c:pt idx="551">
                  <c:v>33.903200000000318</c:v>
                </c:pt>
                <c:pt idx="552">
                  <c:v>33.903300000000321</c:v>
                </c:pt>
                <c:pt idx="553">
                  <c:v>33.903400000000325</c:v>
                </c:pt>
                <c:pt idx="554">
                  <c:v>33.903500000000328</c:v>
                </c:pt>
                <c:pt idx="555">
                  <c:v>33.903600000000331</c:v>
                </c:pt>
                <c:pt idx="556">
                  <c:v>33.903700000000335</c:v>
                </c:pt>
                <c:pt idx="557">
                  <c:v>33.903800000000338</c:v>
                </c:pt>
                <c:pt idx="558">
                  <c:v>33.903900000000341</c:v>
                </c:pt>
                <c:pt idx="559">
                  <c:v>33.904000000000345</c:v>
                </c:pt>
                <c:pt idx="560">
                  <c:v>33.904100000000348</c:v>
                </c:pt>
                <c:pt idx="561">
                  <c:v>33.904200000000351</c:v>
                </c:pt>
                <c:pt idx="562">
                  <c:v>33.904300000000354</c:v>
                </c:pt>
                <c:pt idx="563">
                  <c:v>33.904400000000358</c:v>
                </c:pt>
                <c:pt idx="564">
                  <c:v>33.904500000000361</c:v>
                </c:pt>
                <c:pt idx="565">
                  <c:v>33.904600000000364</c:v>
                </c:pt>
                <c:pt idx="566">
                  <c:v>33.904700000000368</c:v>
                </c:pt>
                <c:pt idx="567">
                  <c:v>33.904800000000371</c:v>
                </c:pt>
                <c:pt idx="568">
                  <c:v>33.904900000000374</c:v>
                </c:pt>
                <c:pt idx="569">
                  <c:v>33.905000000000378</c:v>
                </c:pt>
                <c:pt idx="570">
                  <c:v>33.905100000000381</c:v>
                </c:pt>
                <c:pt idx="571">
                  <c:v>33.905200000000384</c:v>
                </c:pt>
                <c:pt idx="572">
                  <c:v>33.905300000000388</c:v>
                </c:pt>
                <c:pt idx="573">
                  <c:v>33.905400000000391</c:v>
                </c:pt>
                <c:pt idx="574">
                  <c:v>33.905500000000394</c:v>
                </c:pt>
                <c:pt idx="575">
                  <c:v>33.905600000000398</c:v>
                </c:pt>
                <c:pt idx="576">
                  <c:v>33.905700000000401</c:v>
                </c:pt>
                <c:pt idx="577">
                  <c:v>33.905800000000404</c:v>
                </c:pt>
                <c:pt idx="578">
                  <c:v>33.905900000000408</c:v>
                </c:pt>
                <c:pt idx="579">
                  <c:v>33.906000000000411</c:v>
                </c:pt>
                <c:pt idx="580">
                  <c:v>33.906100000000414</c:v>
                </c:pt>
                <c:pt idx="581">
                  <c:v>33.906200000000418</c:v>
                </c:pt>
                <c:pt idx="582">
                  <c:v>33.906300000000421</c:v>
                </c:pt>
                <c:pt idx="583">
                  <c:v>33.906400000000424</c:v>
                </c:pt>
                <c:pt idx="584">
                  <c:v>33.906500000000428</c:v>
                </c:pt>
                <c:pt idx="585">
                  <c:v>33.906600000000431</c:v>
                </c:pt>
                <c:pt idx="586">
                  <c:v>33.906700000000434</c:v>
                </c:pt>
                <c:pt idx="587">
                  <c:v>33.906800000000437</c:v>
                </c:pt>
                <c:pt idx="588">
                  <c:v>33.906900000000441</c:v>
                </c:pt>
                <c:pt idx="589">
                  <c:v>33.907000000000444</c:v>
                </c:pt>
                <c:pt idx="590">
                  <c:v>33.907100000000447</c:v>
                </c:pt>
                <c:pt idx="591">
                  <c:v>33.907200000000451</c:v>
                </c:pt>
                <c:pt idx="592">
                  <c:v>33.907300000000454</c:v>
                </c:pt>
                <c:pt idx="593">
                  <c:v>33.907400000000457</c:v>
                </c:pt>
                <c:pt idx="594">
                  <c:v>33.907500000000461</c:v>
                </c:pt>
                <c:pt idx="595">
                  <c:v>33.907600000000464</c:v>
                </c:pt>
                <c:pt idx="596">
                  <c:v>33.907700000000467</c:v>
                </c:pt>
                <c:pt idx="597">
                  <c:v>33.907800000000471</c:v>
                </c:pt>
                <c:pt idx="598">
                  <c:v>33.907900000000474</c:v>
                </c:pt>
                <c:pt idx="599">
                  <c:v>33.908000000000477</c:v>
                </c:pt>
                <c:pt idx="600">
                  <c:v>33.908100000000481</c:v>
                </c:pt>
                <c:pt idx="601">
                  <c:v>33.908200000000484</c:v>
                </c:pt>
                <c:pt idx="602">
                  <c:v>33.908300000000487</c:v>
                </c:pt>
                <c:pt idx="603">
                  <c:v>33.908400000000491</c:v>
                </c:pt>
                <c:pt idx="604">
                  <c:v>33.908500000000494</c:v>
                </c:pt>
                <c:pt idx="605">
                  <c:v>33.908600000000497</c:v>
                </c:pt>
                <c:pt idx="606">
                  <c:v>33.908700000000501</c:v>
                </c:pt>
                <c:pt idx="607">
                  <c:v>33.908800000000504</c:v>
                </c:pt>
                <c:pt idx="608">
                  <c:v>33.908900000000507</c:v>
                </c:pt>
                <c:pt idx="609">
                  <c:v>33.909000000000511</c:v>
                </c:pt>
                <c:pt idx="610">
                  <c:v>33.909100000000514</c:v>
                </c:pt>
                <c:pt idx="611">
                  <c:v>33.909200000000517</c:v>
                </c:pt>
                <c:pt idx="612">
                  <c:v>33.90930000000052</c:v>
                </c:pt>
                <c:pt idx="613">
                  <c:v>33.909400000000524</c:v>
                </c:pt>
                <c:pt idx="614">
                  <c:v>33.909500000000527</c:v>
                </c:pt>
                <c:pt idx="615">
                  <c:v>33.90960000000053</c:v>
                </c:pt>
                <c:pt idx="616">
                  <c:v>33.909700000000534</c:v>
                </c:pt>
                <c:pt idx="617">
                  <c:v>33.909800000000537</c:v>
                </c:pt>
                <c:pt idx="618">
                  <c:v>33.90990000000054</c:v>
                </c:pt>
                <c:pt idx="619">
                  <c:v>33.910000000000544</c:v>
                </c:pt>
                <c:pt idx="620">
                  <c:v>33.910100000000547</c:v>
                </c:pt>
                <c:pt idx="621">
                  <c:v>33.91020000000055</c:v>
                </c:pt>
                <c:pt idx="622">
                  <c:v>33.910300000000554</c:v>
                </c:pt>
                <c:pt idx="623">
                  <c:v>33.910400000000557</c:v>
                </c:pt>
                <c:pt idx="624">
                  <c:v>33.91050000000056</c:v>
                </c:pt>
                <c:pt idx="625">
                  <c:v>33.910600000000564</c:v>
                </c:pt>
                <c:pt idx="626">
                  <c:v>33.910700000000567</c:v>
                </c:pt>
                <c:pt idx="627">
                  <c:v>33.91080000000057</c:v>
                </c:pt>
                <c:pt idx="628">
                  <c:v>33.910900000000574</c:v>
                </c:pt>
                <c:pt idx="629">
                  <c:v>33.911000000000577</c:v>
                </c:pt>
                <c:pt idx="630">
                  <c:v>33.91110000000058</c:v>
                </c:pt>
                <c:pt idx="631">
                  <c:v>33.911200000000584</c:v>
                </c:pt>
                <c:pt idx="632">
                  <c:v>33.911300000000587</c:v>
                </c:pt>
                <c:pt idx="633">
                  <c:v>33.91140000000059</c:v>
                </c:pt>
                <c:pt idx="634">
                  <c:v>33.911500000000594</c:v>
                </c:pt>
                <c:pt idx="635">
                  <c:v>33.911600000000597</c:v>
                </c:pt>
                <c:pt idx="636">
                  <c:v>33.9117000000006</c:v>
                </c:pt>
                <c:pt idx="637">
                  <c:v>33.911800000000603</c:v>
                </c:pt>
                <c:pt idx="638">
                  <c:v>33.911900000000607</c:v>
                </c:pt>
                <c:pt idx="639">
                  <c:v>33.91200000000061</c:v>
                </c:pt>
                <c:pt idx="640">
                  <c:v>33.912100000000613</c:v>
                </c:pt>
                <c:pt idx="641">
                  <c:v>33.912200000000617</c:v>
                </c:pt>
                <c:pt idx="642">
                  <c:v>33.91230000000062</c:v>
                </c:pt>
                <c:pt idx="643">
                  <c:v>33.912400000000623</c:v>
                </c:pt>
                <c:pt idx="644">
                  <c:v>33.912500000000627</c:v>
                </c:pt>
                <c:pt idx="645">
                  <c:v>33.91260000000063</c:v>
                </c:pt>
                <c:pt idx="646">
                  <c:v>33.912700000000633</c:v>
                </c:pt>
                <c:pt idx="647">
                  <c:v>33.912800000000637</c:v>
                </c:pt>
                <c:pt idx="648">
                  <c:v>33.91290000000064</c:v>
                </c:pt>
                <c:pt idx="649">
                  <c:v>33.913000000000643</c:v>
                </c:pt>
                <c:pt idx="650">
                  <c:v>33.913100000000647</c:v>
                </c:pt>
                <c:pt idx="651">
                  <c:v>33.91320000000065</c:v>
                </c:pt>
                <c:pt idx="652">
                  <c:v>33.913300000000653</c:v>
                </c:pt>
                <c:pt idx="653">
                  <c:v>33.913400000000657</c:v>
                </c:pt>
                <c:pt idx="654">
                  <c:v>33.91350000000066</c:v>
                </c:pt>
                <c:pt idx="655">
                  <c:v>33.913600000000663</c:v>
                </c:pt>
                <c:pt idx="656">
                  <c:v>33.913700000000667</c:v>
                </c:pt>
                <c:pt idx="657">
                  <c:v>33.91380000000067</c:v>
                </c:pt>
                <c:pt idx="658">
                  <c:v>33.913900000000673</c:v>
                </c:pt>
                <c:pt idx="659">
                  <c:v>33.914000000000676</c:v>
                </c:pt>
                <c:pt idx="660">
                  <c:v>33.91410000000068</c:v>
                </c:pt>
                <c:pt idx="661">
                  <c:v>33.914200000000683</c:v>
                </c:pt>
                <c:pt idx="662">
                  <c:v>33.914300000000686</c:v>
                </c:pt>
                <c:pt idx="663">
                  <c:v>33.91440000000069</c:v>
                </c:pt>
                <c:pt idx="664">
                  <c:v>33.914500000000693</c:v>
                </c:pt>
                <c:pt idx="665">
                  <c:v>33.914600000000696</c:v>
                </c:pt>
                <c:pt idx="666">
                  <c:v>33.9147000000007</c:v>
                </c:pt>
                <c:pt idx="667">
                  <c:v>33.914800000000703</c:v>
                </c:pt>
                <c:pt idx="668">
                  <c:v>33.914900000000706</c:v>
                </c:pt>
                <c:pt idx="669">
                  <c:v>33.91500000000071</c:v>
                </c:pt>
                <c:pt idx="670">
                  <c:v>33.915100000000713</c:v>
                </c:pt>
                <c:pt idx="671">
                  <c:v>33.915200000000716</c:v>
                </c:pt>
                <c:pt idx="672">
                  <c:v>33.91530000000072</c:v>
                </c:pt>
                <c:pt idx="673">
                  <c:v>33.915400000000723</c:v>
                </c:pt>
                <c:pt idx="674">
                  <c:v>33.915500000000726</c:v>
                </c:pt>
                <c:pt idx="675">
                  <c:v>33.91560000000073</c:v>
                </c:pt>
                <c:pt idx="676">
                  <c:v>33.915700000000733</c:v>
                </c:pt>
                <c:pt idx="677">
                  <c:v>33.915800000000736</c:v>
                </c:pt>
                <c:pt idx="678">
                  <c:v>33.91590000000074</c:v>
                </c:pt>
                <c:pt idx="679">
                  <c:v>33.916000000000743</c:v>
                </c:pt>
                <c:pt idx="680">
                  <c:v>33.916100000000746</c:v>
                </c:pt>
                <c:pt idx="681">
                  <c:v>33.91620000000075</c:v>
                </c:pt>
                <c:pt idx="682">
                  <c:v>33.916300000000753</c:v>
                </c:pt>
                <c:pt idx="683">
                  <c:v>33.916400000000756</c:v>
                </c:pt>
                <c:pt idx="684">
                  <c:v>33.916500000000759</c:v>
                </c:pt>
                <c:pt idx="685">
                  <c:v>33.916600000000763</c:v>
                </c:pt>
                <c:pt idx="686">
                  <c:v>33.916700000000766</c:v>
                </c:pt>
                <c:pt idx="687">
                  <c:v>33.916800000000769</c:v>
                </c:pt>
                <c:pt idx="688">
                  <c:v>33.916900000000773</c:v>
                </c:pt>
                <c:pt idx="689">
                  <c:v>33.917000000000776</c:v>
                </c:pt>
                <c:pt idx="690">
                  <c:v>33.917100000000779</c:v>
                </c:pt>
                <c:pt idx="691">
                  <c:v>33.917200000000783</c:v>
                </c:pt>
                <c:pt idx="692">
                  <c:v>33.917300000000786</c:v>
                </c:pt>
                <c:pt idx="693">
                  <c:v>33.917400000000789</c:v>
                </c:pt>
                <c:pt idx="694">
                  <c:v>33.917500000000793</c:v>
                </c:pt>
                <c:pt idx="695">
                  <c:v>33.917600000000796</c:v>
                </c:pt>
                <c:pt idx="696">
                  <c:v>33.917700000000799</c:v>
                </c:pt>
                <c:pt idx="697">
                  <c:v>33.917800000000803</c:v>
                </c:pt>
                <c:pt idx="698">
                  <c:v>33.917900000000806</c:v>
                </c:pt>
                <c:pt idx="699">
                  <c:v>33.918000000000809</c:v>
                </c:pt>
                <c:pt idx="700">
                  <c:v>33.918100000000813</c:v>
                </c:pt>
                <c:pt idx="701">
                  <c:v>33.918200000000816</c:v>
                </c:pt>
                <c:pt idx="702">
                  <c:v>33.918300000000819</c:v>
                </c:pt>
                <c:pt idx="703">
                  <c:v>33.918400000000823</c:v>
                </c:pt>
                <c:pt idx="704">
                  <c:v>33.918500000000826</c:v>
                </c:pt>
                <c:pt idx="705">
                  <c:v>33.918600000000829</c:v>
                </c:pt>
                <c:pt idx="706">
                  <c:v>33.918700000000833</c:v>
                </c:pt>
                <c:pt idx="707">
                  <c:v>33.918800000000836</c:v>
                </c:pt>
                <c:pt idx="708">
                  <c:v>33.918900000000839</c:v>
                </c:pt>
                <c:pt idx="709">
                  <c:v>33.919000000000842</c:v>
                </c:pt>
                <c:pt idx="710">
                  <c:v>33.919100000000846</c:v>
                </c:pt>
                <c:pt idx="711">
                  <c:v>33.919200000000849</c:v>
                </c:pt>
                <c:pt idx="712">
                  <c:v>33.919300000000852</c:v>
                </c:pt>
                <c:pt idx="713">
                  <c:v>33.919400000000856</c:v>
                </c:pt>
                <c:pt idx="714">
                  <c:v>33.919500000000859</c:v>
                </c:pt>
                <c:pt idx="715">
                  <c:v>33.919600000000862</c:v>
                </c:pt>
                <c:pt idx="716">
                  <c:v>33.919700000000866</c:v>
                </c:pt>
                <c:pt idx="717">
                  <c:v>33.919800000000869</c:v>
                </c:pt>
                <c:pt idx="718">
                  <c:v>33.919900000000872</c:v>
                </c:pt>
                <c:pt idx="719">
                  <c:v>33.920000000000876</c:v>
                </c:pt>
                <c:pt idx="720">
                  <c:v>33.920100000000879</c:v>
                </c:pt>
                <c:pt idx="721">
                  <c:v>33.920200000000882</c:v>
                </c:pt>
                <c:pt idx="722">
                  <c:v>33.920300000000886</c:v>
                </c:pt>
                <c:pt idx="723">
                  <c:v>33.920400000000889</c:v>
                </c:pt>
                <c:pt idx="724">
                  <c:v>33.920500000000892</c:v>
                </c:pt>
                <c:pt idx="725">
                  <c:v>33.920600000000896</c:v>
                </c:pt>
                <c:pt idx="726">
                  <c:v>33.920700000000899</c:v>
                </c:pt>
                <c:pt idx="727">
                  <c:v>33.920800000000902</c:v>
                </c:pt>
                <c:pt idx="728">
                  <c:v>33.920900000000906</c:v>
                </c:pt>
                <c:pt idx="729">
                  <c:v>33.921000000000909</c:v>
                </c:pt>
                <c:pt idx="730">
                  <c:v>33.921100000000912</c:v>
                </c:pt>
                <c:pt idx="731">
                  <c:v>33.921200000000916</c:v>
                </c:pt>
                <c:pt idx="732">
                  <c:v>33.921300000000919</c:v>
                </c:pt>
                <c:pt idx="733">
                  <c:v>33.921400000000922</c:v>
                </c:pt>
                <c:pt idx="734">
                  <c:v>33.921500000000925</c:v>
                </c:pt>
                <c:pt idx="735">
                  <c:v>33.921600000000929</c:v>
                </c:pt>
                <c:pt idx="736">
                  <c:v>33.921700000000932</c:v>
                </c:pt>
                <c:pt idx="737">
                  <c:v>33.921800000000935</c:v>
                </c:pt>
                <c:pt idx="738">
                  <c:v>33.921900000000939</c:v>
                </c:pt>
                <c:pt idx="739">
                  <c:v>33.922000000000942</c:v>
                </c:pt>
                <c:pt idx="740">
                  <c:v>33.922100000000945</c:v>
                </c:pt>
                <c:pt idx="741">
                  <c:v>33.922200000000949</c:v>
                </c:pt>
                <c:pt idx="742">
                  <c:v>33.922300000000952</c:v>
                </c:pt>
                <c:pt idx="743">
                  <c:v>33.922400000000955</c:v>
                </c:pt>
                <c:pt idx="744">
                  <c:v>33.922500000000959</c:v>
                </c:pt>
                <c:pt idx="745">
                  <c:v>33.922600000000962</c:v>
                </c:pt>
                <c:pt idx="746">
                  <c:v>33.922700000000965</c:v>
                </c:pt>
                <c:pt idx="747">
                  <c:v>33.922800000000969</c:v>
                </c:pt>
                <c:pt idx="748">
                  <c:v>33.922900000000972</c:v>
                </c:pt>
                <c:pt idx="749">
                  <c:v>33.923000000000975</c:v>
                </c:pt>
                <c:pt idx="750">
                  <c:v>33.923100000000979</c:v>
                </c:pt>
                <c:pt idx="751">
                  <c:v>33.923200000000982</c:v>
                </c:pt>
                <c:pt idx="752">
                  <c:v>33.923300000000985</c:v>
                </c:pt>
                <c:pt idx="753">
                  <c:v>33.923400000000989</c:v>
                </c:pt>
                <c:pt idx="754">
                  <c:v>33.923500000000992</c:v>
                </c:pt>
                <c:pt idx="755">
                  <c:v>33.923600000000995</c:v>
                </c:pt>
                <c:pt idx="756">
                  <c:v>33.923700000000999</c:v>
                </c:pt>
                <c:pt idx="757">
                  <c:v>33.923800000001002</c:v>
                </c:pt>
                <c:pt idx="758">
                  <c:v>33.923900000001005</c:v>
                </c:pt>
                <c:pt idx="759">
                  <c:v>33.924000000001008</c:v>
                </c:pt>
                <c:pt idx="760">
                  <c:v>33.924100000001012</c:v>
                </c:pt>
                <c:pt idx="761">
                  <c:v>33.924200000001015</c:v>
                </c:pt>
                <c:pt idx="762">
                  <c:v>33.924300000001018</c:v>
                </c:pt>
                <c:pt idx="763">
                  <c:v>33.924400000001022</c:v>
                </c:pt>
                <c:pt idx="764">
                  <c:v>33.924500000001025</c:v>
                </c:pt>
                <c:pt idx="765">
                  <c:v>33.924600000001028</c:v>
                </c:pt>
                <c:pt idx="766">
                  <c:v>33.924700000001032</c:v>
                </c:pt>
                <c:pt idx="767">
                  <c:v>33.924800000001035</c:v>
                </c:pt>
                <c:pt idx="768">
                  <c:v>33.924900000001038</c:v>
                </c:pt>
                <c:pt idx="769">
                  <c:v>33.925000000001042</c:v>
                </c:pt>
                <c:pt idx="770">
                  <c:v>33.925100000001045</c:v>
                </c:pt>
                <c:pt idx="771">
                  <c:v>33.925200000001048</c:v>
                </c:pt>
                <c:pt idx="772">
                  <c:v>33.925300000001052</c:v>
                </c:pt>
                <c:pt idx="773">
                  <c:v>33.925400000001055</c:v>
                </c:pt>
                <c:pt idx="774">
                  <c:v>33.925500000001058</c:v>
                </c:pt>
                <c:pt idx="775">
                  <c:v>33.925600000001062</c:v>
                </c:pt>
                <c:pt idx="776">
                  <c:v>33.925700000001065</c:v>
                </c:pt>
                <c:pt idx="777">
                  <c:v>33.925800000001068</c:v>
                </c:pt>
                <c:pt idx="778">
                  <c:v>33.925900000001072</c:v>
                </c:pt>
                <c:pt idx="779">
                  <c:v>33.926000000001075</c:v>
                </c:pt>
                <c:pt idx="780">
                  <c:v>33.926100000001078</c:v>
                </c:pt>
                <c:pt idx="781">
                  <c:v>33.926200000001081</c:v>
                </c:pt>
                <c:pt idx="782">
                  <c:v>33.926300000001085</c:v>
                </c:pt>
                <c:pt idx="783">
                  <c:v>33.926400000001088</c:v>
                </c:pt>
                <c:pt idx="784">
                  <c:v>33.926500000001091</c:v>
                </c:pt>
                <c:pt idx="785">
                  <c:v>33.926600000001095</c:v>
                </c:pt>
                <c:pt idx="786">
                  <c:v>33.926700000001098</c:v>
                </c:pt>
                <c:pt idx="787">
                  <c:v>33.926800000001101</c:v>
                </c:pt>
                <c:pt idx="788">
                  <c:v>33.926900000001105</c:v>
                </c:pt>
                <c:pt idx="789">
                  <c:v>33.927000000001108</c:v>
                </c:pt>
                <c:pt idx="790">
                  <c:v>33.927100000001111</c:v>
                </c:pt>
                <c:pt idx="791">
                  <c:v>33.927200000001115</c:v>
                </c:pt>
                <c:pt idx="792">
                  <c:v>33.927300000001118</c:v>
                </c:pt>
                <c:pt idx="793">
                  <c:v>33.927400000001121</c:v>
                </c:pt>
                <c:pt idx="794">
                  <c:v>33.927500000001125</c:v>
                </c:pt>
                <c:pt idx="795">
                  <c:v>33.927600000001128</c:v>
                </c:pt>
                <c:pt idx="796">
                  <c:v>33.927700000001131</c:v>
                </c:pt>
                <c:pt idx="797">
                  <c:v>33.927800000001135</c:v>
                </c:pt>
                <c:pt idx="798">
                  <c:v>33.927900000001138</c:v>
                </c:pt>
                <c:pt idx="799">
                  <c:v>33.928000000001141</c:v>
                </c:pt>
                <c:pt idx="800">
                  <c:v>33.928100000001145</c:v>
                </c:pt>
                <c:pt idx="801">
                  <c:v>33.928200000001148</c:v>
                </c:pt>
                <c:pt idx="802">
                  <c:v>33.928300000001151</c:v>
                </c:pt>
                <c:pt idx="803">
                  <c:v>33.928400000001155</c:v>
                </c:pt>
                <c:pt idx="804">
                  <c:v>33.928500000001158</c:v>
                </c:pt>
                <c:pt idx="805">
                  <c:v>33.928600000001161</c:v>
                </c:pt>
                <c:pt idx="806">
                  <c:v>33.928700000001164</c:v>
                </c:pt>
                <c:pt idx="807">
                  <c:v>33.928800000001168</c:v>
                </c:pt>
                <c:pt idx="808">
                  <c:v>33.928900000001171</c:v>
                </c:pt>
                <c:pt idx="809">
                  <c:v>33.929000000001174</c:v>
                </c:pt>
                <c:pt idx="810">
                  <c:v>33.929100000001178</c:v>
                </c:pt>
                <c:pt idx="811">
                  <c:v>33.929200000001181</c:v>
                </c:pt>
                <c:pt idx="812">
                  <c:v>33.929300000001184</c:v>
                </c:pt>
                <c:pt idx="813">
                  <c:v>33.929400000001188</c:v>
                </c:pt>
                <c:pt idx="814">
                  <c:v>33.929500000001191</c:v>
                </c:pt>
                <c:pt idx="815">
                  <c:v>33.929600000001194</c:v>
                </c:pt>
                <c:pt idx="816">
                  <c:v>33.929700000001198</c:v>
                </c:pt>
                <c:pt idx="817">
                  <c:v>33.929800000001201</c:v>
                </c:pt>
                <c:pt idx="818">
                  <c:v>33.929900000001204</c:v>
                </c:pt>
                <c:pt idx="819">
                  <c:v>33.930000000001208</c:v>
                </c:pt>
                <c:pt idx="820">
                  <c:v>33.930100000001211</c:v>
                </c:pt>
                <c:pt idx="821">
                  <c:v>33.930200000001214</c:v>
                </c:pt>
                <c:pt idx="822">
                  <c:v>33.930300000001218</c:v>
                </c:pt>
                <c:pt idx="823">
                  <c:v>33.930400000001221</c:v>
                </c:pt>
                <c:pt idx="824">
                  <c:v>33.930500000001224</c:v>
                </c:pt>
                <c:pt idx="825">
                  <c:v>33.930600000001228</c:v>
                </c:pt>
                <c:pt idx="826">
                  <c:v>33.930700000001231</c:v>
                </c:pt>
                <c:pt idx="827">
                  <c:v>33.930800000001234</c:v>
                </c:pt>
                <c:pt idx="828">
                  <c:v>33.930900000001238</c:v>
                </c:pt>
                <c:pt idx="829">
                  <c:v>33.931000000001241</c:v>
                </c:pt>
                <c:pt idx="830">
                  <c:v>33.931100000001244</c:v>
                </c:pt>
                <c:pt idx="831">
                  <c:v>33.931200000001247</c:v>
                </c:pt>
                <c:pt idx="832">
                  <c:v>33.931300000001251</c:v>
                </c:pt>
                <c:pt idx="833">
                  <c:v>33.931400000001254</c:v>
                </c:pt>
                <c:pt idx="834">
                  <c:v>33.931500000001257</c:v>
                </c:pt>
                <c:pt idx="835">
                  <c:v>33.931600000001261</c:v>
                </c:pt>
                <c:pt idx="836">
                  <c:v>33.931700000001264</c:v>
                </c:pt>
                <c:pt idx="837">
                  <c:v>33.931800000001267</c:v>
                </c:pt>
                <c:pt idx="838">
                  <c:v>33.931900000001271</c:v>
                </c:pt>
                <c:pt idx="839">
                  <c:v>33.932000000001274</c:v>
                </c:pt>
                <c:pt idx="840">
                  <c:v>33.932100000001277</c:v>
                </c:pt>
                <c:pt idx="841">
                  <c:v>33.932200000001281</c:v>
                </c:pt>
                <c:pt idx="842">
                  <c:v>33.932300000001284</c:v>
                </c:pt>
                <c:pt idx="843">
                  <c:v>33.932400000001287</c:v>
                </c:pt>
                <c:pt idx="844">
                  <c:v>33.932500000001291</c:v>
                </c:pt>
                <c:pt idx="845">
                  <c:v>33.932600000001294</c:v>
                </c:pt>
                <c:pt idx="846">
                  <c:v>33.932700000001297</c:v>
                </c:pt>
                <c:pt idx="847">
                  <c:v>33.932800000001301</c:v>
                </c:pt>
                <c:pt idx="848">
                  <c:v>33.932900000001304</c:v>
                </c:pt>
                <c:pt idx="849">
                  <c:v>33.933000000001307</c:v>
                </c:pt>
                <c:pt idx="850">
                  <c:v>33.933100000001311</c:v>
                </c:pt>
                <c:pt idx="851">
                  <c:v>33.933200000001314</c:v>
                </c:pt>
                <c:pt idx="852">
                  <c:v>33.933300000001317</c:v>
                </c:pt>
                <c:pt idx="853">
                  <c:v>33.933400000001321</c:v>
                </c:pt>
                <c:pt idx="854">
                  <c:v>33.933500000001324</c:v>
                </c:pt>
                <c:pt idx="855">
                  <c:v>33.933600000001327</c:v>
                </c:pt>
                <c:pt idx="856">
                  <c:v>33.93370000000133</c:v>
                </c:pt>
                <c:pt idx="857">
                  <c:v>33.933800000001334</c:v>
                </c:pt>
                <c:pt idx="858">
                  <c:v>33.933900000001337</c:v>
                </c:pt>
                <c:pt idx="859">
                  <c:v>33.93400000000134</c:v>
                </c:pt>
                <c:pt idx="860">
                  <c:v>33.934100000001344</c:v>
                </c:pt>
                <c:pt idx="861">
                  <c:v>33.934200000001347</c:v>
                </c:pt>
                <c:pt idx="862">
                  <c:v>33.93430000000135</c:v>
                </c:pt>
                <c:pt idx="863">
                  <c:v>33.934400000001354</c:v>
                </c:pt>
                <c:pt idx="864">
                  <c:v>33.934500000001357</c:v>
                </c:pt>
                <c:pt idx="865">
                  <c:v>33.93460000000136</c:v>
                </c:pt>
                <c:pt idx="866">
                  <c:v>33.934700000001364</c:v>
                </c:pt>
                <c:pt idx="867">
                  <c:v>33.934800000001367</c:v>
                </c:pt>
                <c:pt idx="868">
                  <c:v>33.93490000000137</c:v>
                </c:pt>
                <c:pt idx="869">
                  <c:v>33.935000000001374</c:v>
                </c:pt>
                <c:pt idx="870">
                  <c:v>33.935100000001377</c:v>
                </c:pt>
                <c:pt idx="871">
                  <c:v>33.93520000000138</c:v>
                </c:pt>
                <c:pt idx="872">
                  <c:v>33.935300000001384</c:v>
                </c:pt>
                <c:pt idx="873">
                  <c:v>33.935400000001387</c:v>
                </c:pt>
                <c:pt idx="874">
                  <c:v>33.93550000000139</c:v>
                </c:pt>
                <c:pt idx="875">
                  <c:v>33.935600000001394</c:v>
                </c:pt>
                <c:pt idx="876">
                  <c:v>33.935700000001397</c:v>
                </c:pt>
                <c:pt idx="877">
                  <c:v>33.9358000000014</c:v>
                </c:pt>
                <c:pt idx="878">
                  <c:v>33.935900000001403</c:v>
                </c:pt>
                <c:pt idx="879">
                  <c:v>33.936000000001407</c:v>
                </c:pt>
                <c:pt idx="880">
                  <c:v>33.93610000000141</c:v>
                </c:pt>
                <c:pt idx="881">
                  <c:v>33.936200000001413</c:v>
                </c:pt>
                <c:pt idx="882">
                  <c:v>33.936300000001417</c:v>
                </c:pt>
                <c:pt idx="883">
                  <c:v>33.93640000000142</c:v>
                </c:pt>
                <c:pt idx="884">
                  <c:v>33.936500000001423</c:v>
                </c:pt>
                <c:pt idx="885">
                  <c:v>33.936600000001427</c:v>
                </c:pt>
                <c:pt idx="886">
                  <c:v>33.93670000000143</c:v>
                </c:pt>
                <c:pt idx="887">
                  <c:v>33.936800000001433</c:v>
                </c:pt>
                <c:pt idx="888">
                  <c:v>33.936900000001437</c:v>
                </c:pt>
                <c:pt idx="889">
                  <c:v>33.93700000000144</c:v>
                </c:pt>
                <c:pt idx="890">
                  <c:v>33.937100000001443</c:v>
                </c:pt>
                <c:pt idx="891">
                  <c:v>33.937200000001447</c:v>
                </c:pt>
                <c:pt idx="892">
                  <c:v>33.93730000000145</c:v>
                </c:pt>
                <c:pt idx="893">
                  <c:v>33.937400000001453</c:v>
                </c:pt>
                <c:pt idx="894">
                  <c:v>33.937500000001457</c:v>
                </c:pt>
                <c:pt idx="895">
                  <c:v>33.93760000000146</c:v>
                </c:pt>
                <c:pt idx="896">
                  <c:v>33.937700000001463</c:v>
                </c:pt>
                <c:pt idx="897">
                  <c:v>33.937800000001467</c:v>
                </c:pt>
                <c:pt idx="898">
                  <c:v>33.93790000000147</c:v>
                </c:pt>
                <c:pt idx="899">
                  <c:v>33.938000000001473</c:v>
                </c:pt>
                <c:pt idx="900">
                  <c:v>33.938100000001477</c:v>
                </c:pt>
                <c:pt idx="901">
                  <c:v>33.93820000000148</c:v>
                </c:pt>
                <c:pt idx="902">
                  <c:v>33.938300000001483</c:v>
                </c:pt>
                <c:pt idx="903">
                  <c:v>33.938400000001486</c:v>
                </c:pt>
                <c:pt idx="904">
                  <c:v>33.93850000000149</c:v>
                </c:pt>
                <c:pt idx="905">
                  <c:v>33.938600000001493</c:v>
                </c:pt>
                <c:pt idx="906">
                  <c:v>33.938700000001496</c:v>
                </c:pt>
                <c:pt idx="907">
                  <c:v>33.9388000000015</c:v>
                </c:pt>
                <c:pt idx="908">
                  <c:v>33.938900000001503</c:v>
                </c:pt>
                <c:pt idx="909">
                  <c:v>33.939000000001506</c:v>
                </c:pt>
                <c:pt idx="910">
                  <c:v>33.93910000000151</c:v>
                </c:pt>
                <c:pt idx="911">
                  <c:v>33.939200000001513</c:v>
                </c:pt>
                <c:pt idx="912">
                  <c:v>33.939300000001516</c:v>
                </c:pt>
                <c:pt idx="913">
                  <c:v>33.93940000000152</c:v>
                </c:pt>
                <c:pt idx="914">
                  <c:v>33.939500000001523</c:v>
                </c:pt>
                <c:pt idx="915">
                  <c:v>33.939600000001526</c:v>
                </c:pt>
                <c:pt idx="916">
                  <c:v>33.93970000000153</c:v>
                </c:pt>
                <c:pt idx="917">
                  <c:v>33.939800000001533</c:v>
                </c:pt>
                <c:pt idx="918">
                  <c:v>33.939900000001536</c:v>
                </c:pt>
                <c:pt idx="919">
                  <c:v>33.94000000000154</c:v>
                </c:pt>
                <c:pt idx="920">
                  <c:v>33.940100000001543</c:v>
                </c:pt>
                <c:pt idx="921">
                  <c:v>33.940200000001546</c:v>
                </c:pt>
                <c:pt idx="922">
                  <c:v>33.94030000000155</c:v>
                </c:pt>
                <c:pt idx="923">
                  <c:v>33.940400000001553</c:v>
                </c:pt>
                <c:pt idx="924">
                  <c:v>33.940500000001556</c:v>
                </c:pt>
                <c:pt idx="925">
                  <c:v>33.94060000000156</c:v>
                </c:pt>
                <c:pt idx="926">
                  <c:v>33.940700000001563</c:v>
                </c:pt>
                <c:pt idx="927">
                  <c:v>33.940800000001566</c:v>
                </c:pt>
                <c:pt idx="928">
                  <c:v>33.940900000001569</c:v>
                </c:pt>
                <c:pt idx="929">
                  <c:v>33.941000000001573</c:v>
                </c:pt>
                <c:pt idx="930">
                  <c:v>33.941100000001576</c:v>
                </c:pt>
                <c:pt idx="931">
                  <c:v>33.941200000001579</c:v>
                </c:pt>
                <c:pt idx="932">
                  <c:v>33.941300000001583</c:v>
                </c:pt>
                <c:pt idx="933">
                  <c:v>33.941400000001586</c:v>
                </c:pt>
                <c:pt idx="934">
                  <c:v>33.941500000001589</c:v>
                </c:pt>
                <c:pt idx="935">
                  <c:v>33.941600000001593</c:v>
                </c:pt>
                <c:pt idx="936">
                  <c:v>33.941700000001596</c:v>
                </c:pt>
                <c:pt idx="937">
                  <c:v>33.941800000001599</c:v>
                </c:pt>
                <c:pt idx="938">
                  <c:v>33.941900000001603</c:v>
                </c:pt>
                <c:pt idx="939">
                  <c:v>33.942000000001606</c:v>
                </c:pt>
                <c:pt idx="940">
                  <c:v>33.942100000001609</c:v>
                </c:pt>
                <c:pt idx="941">
                  <c:v>33.942200000001613</c:v>
                </c:pt>
                <c:pt idx="942">
                  <c:v>33.942300000001616</c:v>
                </c:pt>
                <c:pt idx="943">
                  <c:v>33.942400000001619</c:v>
                </c:pt>
                <c:pt idx="944">
                  <c:v>33.942500000001623</c:v>
                </c:pt>
                <c:pt idx="945">
                  <c:v>33.942600000001626</c:v>
                </c:pt>
                <c:pt idx="946">
                  <c:v>33.942700000001629</c:v>
                </c:pt>
                <c:pt idx="947">
                  <c:v>33.942800000001633</c:v>
                </c:pt>
                <c:pt idx="948">
                  <c:v>33.942900000001636</c:v>
                </c:pt>
                <c:pt idx="949">
                  <c:v>33.943000000001639</c:v>
                </c:pt>
                <c:pt idx="950">
                  <c:v>33.943100000001643</c:v>
                </c:pt>
                <c:pt idx="951">
                  <c:v>33.943200000001646</c:v>
                </c:pt>
                <c:pt idx="952">
                  <c:v>33.943300000001649</c:v>
                </c:pt>
                <c:pt idx="953">
                  <c:v>33.943400000001652</c:v>
                </c:pt>
                <c:pt idx="954">
                  <c:v>33.943500000001656</c:v>
                </c:pt>
                <c:pt idx="955">
                  <c:v>33.943600000001659</c:v>
                </c:pt>
                <c:pt idx="956">
                  <c:v>33.943700000001662</c:v>
                </c:pt>
                <c:pt idx="957">
                  <c:v>33.943800000001666</c:v>
                </c:pt>
                <c:pt idx="958">
                  <c:v>33.943900000001669</c:v>
                </c:pt>
                <c:pt idx="959">
                  <c:v>33.944000000001672</c:v>
                </c:pt>
                <c:pt idx="960">
                  <c:v>33.944100000001676</c:v>
                </c:pt>
                <c:pt idx="961">
                  <c:v>33.944200000001679</c:v>
                </c:pt>
                <c:pt idx="962">
                  <c:v>33.944300000001682</c:v>
                </c:pt>
                <c:pt idx="963">
                  <c:v>33.944400000001686</c:v>
                </c:pt>
                <c:pt idx="964">
                  <c:v>33.944500000001689</c:v>
                </c:pt>
                <c:pt idx="965">
                  <c:v>33.944600000001692</c:v>
                </c:pt>
                <c:pt idx="966">
                  <c:v>33.944700000001696</c:v>
                </c:pt>
                <c:pt idx="967">
                  <c:v>33.944800000001699</c:v>
                </c:pt>
                <c:pt idx="968">
                  <c:v>33.944900000001702</c:v>
                </c:pt>
                <c:pt idx="969">
                  <c:v>33.945000000001706</c:v>
                </c:pt>
                <c:pt idx="970">
                  <c:v>33.945100000001709</c:v>
                </c:pt>
                <c:pt idx="971">
                  <c:v>33.945200000001712</c:v>
                </c:pt>
                <c:pt idx="972">
                  <c:v>33.945300000001716</c:v>
                </c:pt>
                <c:pt idx="973">
                  <c:v>33.945400000001719</c:v>
                </c:pt>
                <c:pt idx="974">
                  <c:v>33.945500000001722</c:v>
                </c:pt>
                <c:pt idx="975">
                  <c:v>33.945600000001726</c:v>
                </c:pt>
                <c:pt idx="976">
                  <c:v>33.945700000001729</c:v>
                </c:pt>
                <c:pt idx="977">
                  <c:v>33.945800000001732</c:v>
                </c:pt>
                <c:pt idx="978">
                  <c:v>33.945900000001735</c:v>
                </c:pt>
                <c:pt idx="979">
                  <c:v>33.946000000001739</c:v>
                </c:pt>
                <c:pt idx="980">
                  <c:v>33.946100000001742</c:v>
                </c:pt>
                <c:pt idx="981">
                  <c:v>33.946200000001745</c:v>
                </c:pt>
                <c:pt idx="982">
                  <c:v>33.946300000001749</c:v>
                </c:pt>
                <c:pt idx="983">
                  <c:v>33.946400000001752</c:v>
                </c:pt>
                <c:pt idx="984">
                  <c:v>33.946500000001755</c:v>
                </c:pt>
                <c:pt idx="985">
                  <c:v>33.946600000001759</c:v>
                </c:pt>
                <c:pt idx="986">
                  <c:v>33.946700000001762</c:v>
                </c:pt>
                <c:pt idx="987">
                  <c:v>33.946800000001765</c:v>
                </c:pt>
                <c:pt idx="988">
                  <c:v>33.946900000001769</c:v>
                </c:pt>
                <c:pt idx="989">
                  <c:v>33.947000000001772</c:v>
                </c:pt>
                <c:pt idx="990">
                  <c:v>33.947100000001775</c:v>
                </c:pt>
                <c:pt idx="991">
                  <c:v>33.947200000001779</c:v>
                </c:pt>
                <c:pt idx="992">
                  <c:v>33.947300000001782</c:v>
                </c:pt>
                <c:pt idx="993">
                  <c:v>33.947400000001785</c:v>
                </c:pt>
                <c:pt idx="994">
                  <c:v>33.947500000001789</c:v>
                </c:pt>
                <c:pt idx="995">
                  <c:v>33.947600000001792</c:v>
                </c:pt>
                <c:pt idx="996">
                  <c:v>33.947700000001795</c:v>
                </c:pt>
                <c:pt idx="997">
                  <c:v>33.947800000001799</c:v>
                </c:pt>
                <c:pt idx="998">
                  <c:v>33.947900000001802</c:v>
                </c:pt>
                <c:pt idx="999">
                  <c:v>33.948000000001805</c:v>
                </c:pt>
                <c:pt idx="1000">
                  <c:v>33.948100000001808</c:v>
                </c:pt>
              </c:numCache>
            </c:numRef>
          </c:xVal>
          <c:yVal>
            <c:numRef>
              <c:f>Calculs!$J$4:$J$1004</c:f>
              <c:numCache>
                <c:formatCode>0.00</c:formatCode>
                <c:ptCount val="1001"/>
                <c:pt idx="0">
                  <c:v>0</c:v>
                </c:pt>
                <c:pt idx="1">
                  <c:v>1.5273854005705694E-4</c:v>
                </c:pt>
                <c:pt idx="2">
                  <c:v>1.2696914437625936E-3</c:v>
                </c:pt>
                <c:pt idx="3">
                  <c:v>4.4110278842786777E-3</c:v>
                </c:pt>
                <c:pt idx="4">
                  <c:v>9.9362335628061411E-3</c:v>
                </c:pt>
                <c:pt idx="5">
                  <c:v>1.7761314088600405E-2</c:v>
                </c:pt>
                <c:pt idx="6">
                  <c:v>2.7827737950922075E-2</c:v>
                </c:pt>
                <c:pt idx="7">
                  <c:v>4.0128173392675132E-2</c:v>
                </c:pt>
                <c:pt idx="8">
                  <c:v>5.4680929117226572E-2</c:v>
                </c:pt>
                <c:pt idx="9">
                  <c:v>7.150432487106842E-2</c:v>
                </c:pt>
                <c:pt idx="10">
                  <c:v>9.0616691124344659E-2</c:v>
                </c:pt>
                <c:pt idx="11">
                  <c:v>0.11203370511302652</c:v>
                </c:pt>
                <c:pt idx="12">
                  <c:v>0.13576571961490921</c:v>
                </c:pt>
                <c:pt idx="13">
                  <c:v>0.16182041552888118</c:v>
                </c:pt>
                <c:pt idx="14">
                  <c:v>0.19020546176004227</c:v>
                </c:pt>
                <c:pt idx="15">
                  <c:v>0.22092851497627636</c:v>
                </c:pt>
                <c:pt idx="16">
                  <c:v>0.25399721936396169</c:v>
                </c:pt>
                <c:pt idx="17">
                  <c:v>0.28941920638283469</c:v>
                </c:pt>
                <c:pt idx="18">
                  <c:v>0.32720209452002352</c:v>
                </c:pt>
                <c:pt idx="19">
                  <c:v>0.3673534890432677</c:v>
                </c:pt>
                <c:pt idx="20">
                  <c:v>0.40988098175334087</c:v>
                </c:pt>
                <c:pt idx="21">
                  <c:v>0.45479108152915937</c:v>
                </c:pt>
                <c:pt idx="22">
                  <c:v>0.5020881420071035</c:v>
                </c:pt>
                <c:pt idx="23">
                  <c:v>0.55177542639432053</c:v>
                </c:pt>
                <c:pt idx="24">
                  <c:v>0.60385617519710821</c:v>
                </c:pt>
                <c:pt idx="25">
                  <c:v>0.65833360607187441</c:v>
                </c:pt>
                <c:pt idx="26">
                  <c:v>0.71521091367679623</c:v>
                </c:pt>
                <c:pt idx="27">
                  <c:v>0.77457521122985118</c:v>
                </c:pt>
                <c:pt idx="28">
                  <c:v>0.83651709727039647</c:v>
                </c:pt>
                <c:pt idx="29">
                  <c:v>0.90104665771487036</c:v>
                </c:pt>
                <c:pt idx="30">
                  <c:v>0.96817378816524302</c:v>
                </c:pt>
                <c:pt idx="31">
                  <c:v>1.0379081467387299</c:v>
                </c:pt>
                <c:pt idx="32">
                  <c:v>1.1102591682103027</c:v>
                </c:pt>
                <c:pt idx="33">
                  <c:v>1.1852360767476562</c:v>
                </c:pt>
                <c:pt idx="34">
                  <c:v>1.2628478974175996</c:v>
                </c:pt>
                <c:pt idx="35">
                  <c:v>1.3431034666152477</c:v>
                </c:pt>
                <c:pt idx="36">
                  <c:v>1.4260114415447558</c:v>
                </c:pt>
                <c:pt idx="37">
                  <c:v>1.5115803088616588</c:v>
                </c:pt>
                <c:pt idx="38">
                  <c:v>1.5998183925713556</c:v>
                </c:pt>
                <c:pt idx="39">
                  <c:v>1.6907338612653215</c:v>
                </c:pt>
                <c:pt idx="40">
                  <c:v>1.784334734765751</c:v>
                </c:pt>
                <c:pt idx="41">
                  <c:v>1.8806280307923873</c:v>
                </c:pt>
                <c:pt idx="42">
                  <c:v>1.9796189044622245</c:v>
                </c:pt>
                <c:pt idx="43">
                  <c:v>2.0813115041369881</c:v>
                </c:pt>
                <c:pt idx="44">
                  <c:v>2.1857098338846024</c:v>
                </c:pt>
                <c:pt idx="45">
                  <c:v>2.2928177585509801</c:v>
                </c:pt>
                <c:pt idx="46">
                  <c:v>2.4026390084747908</c:v>
                </c:pt>
                <c:pt idx="47">
                  <c:v>2.5151771838780768</c:v>
                </c:pt>
                <c:pt idx="48">
                  <c:v>2.6304357589619025</c:v>
                </c:pt>
                <c:pt idx="49">
                  <c:v>2.7484180857330265</c:v>
                </c:pt>
                <c:pt idx="50">
                  <c:v>2.8691273975848004</c:v>
                </c:pt>
                <c:pt idx="51">
                  <c:v>2.992566812653064</c:v>
                </c:pt>
                <c:pt idx="52">
                  <c:v>3.1187393369656702</c:v>
                </c:pt>
                <c:pt idx="53">
                  <c:v>3.2476478674024039</c:v>
                </c:pt>
                <c:pt idx="54">
                  <c:v>3.3792951944803988</c:v>
                </c:pt>
                <c:pt idx="55">
                  <c:v>3.5136840049787041</c:v>
                </c:pt>
                <c:pt idx="56">
                  <c:v>3.6508168844143465</c:v>
                </c:pt>
                <c:pt idx="57">
                  <c:v>3.7906963193810967</c:v>
                </c:pt>
                <c:pt idx="58">
                  <c:v>3.9333246997611155</c:v>
                </c:pt>
                <c:pt idx="59">
                  <c:v>4.0787043208187512</c:v>
                </c:pt>
                <c:pt idx="60">
                  <c:v>4.2268373851849335</c:v>
                </c:pt>
                <c:pt idx="61">
                  <c:v>4.3777260047398858</c:v>
                </c:pt>
                <c:pt idx="62">
                  <c:v>4.5313722024012169</c:v>
                </c:pt>
                <c:pt idx="63">
                  <c:v>4.6877779138238651</c:v>
                </c:pt>
                <c:pt idx="64">
                  <c:v>4.8469449890178353</c:v>
                </c:pt>
                <c:pt idx="65">
                  <c:v>5.0088751938891827</c:v>
                </c:pt>
                <c:pt idx="66">
                  <c:v>5.1735702117092712</c:v>
                </c:pt>
                <c:pt idx="67">
                  <c:v>5.3410316445169403</c:v>
                </c:pt>
                <c:pt idx="68">
                  <c:v>5.5112610144578458</c:v>
                </c:pt>
                <c:pt idx="69">
                  <c:v>5.684259765064926</c:v>
                </c:pt>
                <c:pt idx="70">
                  <c:v>5.8600292624836543</c:v>
                </c:pt>
                <c:pt idx="71">
                  <c:v>6.0385707966454483</c:v>
                </c:pt>
                <c:pt idx="72">
                  <c:v>6.2198855823923838</c:v>
                </c:pt>
                <c:pt idx="73">
                  <c:v>6.403974760556121</c:v>
                </c:pt>
                <c:pt idx="74">
                  <c:v>6.590839398993757</c:v>
                </c:pt>
                <c:pt idx="75">
                  <c:v>6.7804804935831138</c:v>
                </c:pt>
                <c:pt idx="76">
                  <c:v>6.9728989691798162</c:v>
                </c:pt>
                <c:pt idx="77">
                  <c:v>7.1680956805383431</c:v>
                </c:pt>
                <c:pt idx="78">
                  <c:v>7.3660714131990916</c:v>
                </c:pt>
                <c:pt idx="79">
                  <c:v>7.5668268843433601</c:v>
                </c:pt>
                <c:pt idx="80">
                  <c:v>7.7703627436180378</c:v>
                </c:pt>
                <c:pt idx="81">
                  <c:v>7.9766786545424084</c:v>
                </c:pt>
                <c:pt idx="82">
                  <c:v>8.1857723716531172</c:v>
                </c:pt>
                <c:pt idx="83">
                  <c:v>8.3976406552560441</c:v>
                </c:pt>
                <c:pt idx="84">
                  <c:v>8.6122801905307647</c:v>
                </c:pt>
                <c:pt idx="85">
                  <c:v>8.8296875885081434</c:v>
                </c:pt>
                <c:pt idx="86">
                  <c:v>9.0498593870209536</c:v>
                </c:pt>
                <c:pt idx="87">
                  <c:v>9.272792051628965</c:v>
                </c:pt>
                <c:pt idx="88">
                  <c:v>9.4984819765198605</c:v>
                </c:pt>
                <c:pt idx="89">
                  <c:v>9.7269254853872322</c:v>
                </c:pt>
                <c:pt idx="90">
                  <c:v>9.9581188322868694</c:v>
                </c:pt>
                <c:pt idx="91">
                  <c:v>10.192057792553406</c:v>
                </c:pt>
                <c:pt idx="92">
                  <c:v>10.42873725199834</c:v>
                </c:pt>
                <c:pt idx="93">
                  <c:v>10.668151615515839</c:v>
                </c:pt>
                <c:pt idx="94">
                  <c:v>10.910295217429958</c:v>
                </c:pt>
                <c:pt idx="95">
                  <c:v>11.155162322376789</c:v>
                </c:pt>
                <c:pt idx="96">
                  <c:v>11.402747126168892</c:v>
                </c:pt>
                <c:pt idx="97">
                  <c:v>11.653043756642871</c:v>
                </c:pt>
                <c:pt idx="98">
                  <c:v>11.906046274490908</c:v>
                </c:pt>
                <c:pt idx="99">
                  <c:v>12.161748674077016</c:v>
                </c:pt>
                <c:pt idx="100">
                  <c:v>12.420144884238734</c:v>
                </c:pt>
                <c:pt idx="101">
                  <c:v>12.681228702968578</c:v>
                </c:pt>
                <c:pt idx="102">
                  <c:v>12.944993731835435</c:v>
                </c:pt>
                <c:pt idx="103">
                  <c:v>13.211433442554696</c:v>
                </c:pt>
                <c:pt idx="104">
                  <c:v>13.480541243802177</c:v>
                </c:pt>
                <c:pt idx="105">
                  <c:v>13.752310481970445</c:v>
                </c:pt>
                <c:pt idx="106">
                  <c:v>14.026734441913923</c:v>
                </c:pt>
                <c:pt idx="107">
                  <c:v>14.30380634768323</c:v>
                </c:pt>
                <c:pt idx="108">
                  <c:v>14.583519363249245</c:v>
                </c:pt>
                <c:pt idx="109">
                  <c:v>14.865866593217326</c:v>
                </c:pt>
                <c:pt idx="110">
                  <c:v>15.150841083532084</c:v>
                </c:pt>
                <c:pt idx="111">
                  <c:v>15.438436589028203</c:v>
                </c:pt>
                <c:pt idx="112">
                  <c:v>15.728648343557349</c:v>
                </c:pt>
                <c:pt idx="113">
                  <c:v>16.021472296834158</c:v>
                </c:pt>
                <c:pt idx="114">
                  <c:v>16.31690434859501</c:v>
                </c:pt>
                <c:pt idx="115">
                  <c:v>16.614940349073159</c:v>
                </c:pt>
                <c:pt idx="116">
                  <c:v>16.915576099468431</c:v>
                </c:pt>
                <c:pt idx="117">
                  <c:v>17.218807352411712</c:v>
                </c:pt>
                <c:pt idx="118">
                  <c:v>17.524629812424415</c:v>
                </c:pt>
                <c:pt idx="119">
                  <c:v>17.83303913637317</c:v>
                </c:pt>
                <c:pt idx="120">
                  <c:v>18.1440309339199</c:v>
                </c:pt>
                <c:pt idx="121">
                  <c:v>18.457599487191622</c:v>
                </c:pt>
                <c:pt idx="122">
                  <c:v>18.773736466518649</c:v>
                </c:pt>
                <c:pt idx="123">
                  <c:v>19.092432207232353</c:v>
                </c:pt>
                <c:pt idx="124">
                  <c:v>19.413676990539535</c:v>
                </c:pt>
                <c:pt idx="125">
                  <c:v>19.73746104425695</c:v>
                </c:pt>
                <c:pt idx="126">
                  <c:v>20.063774543539331</c:v>
                </c:pt>
                <c:pt idx="127">
                  <c:v>20.392607611601061</c:v>
                </c:pt>
                <c:pt idx="128">
                  <c:v>20.723950320431712</c:v>
                </c:pt>
                <c:pt idx="129">
                  <c:v>21.0577926915056</c:v>
                </c:pt>
                <c:pt idx="130">
                  <c:v>21.394124696485544</c:v>
                </c:pt>
                <c:pt idx="131">
                  <c:v>21.732935920435683</c:v>
                </c:pt>
                <c:pt idx="132">
                  <c:v>22.074215224106698</c:v>
                </c:pt>
                <c:pt idx="133">
                  <c:v>22.417951081129061</c:v>
                </c:pt>
                <c:pt idx="134">
                  <c:v>22.764131916164267</c:v>
                </c:pt>
                <c:pt idx="135">
                  <c:v>23.112746105663522</c:v>
                </c:pt>
                <c:pt idx="136">
                  <c:v>23.463781978620645</c:v>
                </c:pt>
                <c:pt idx="137">
                  <c:v>23.817227817319242</c:v>
                </c:pt>
                <c:pt idx="138">
                  <c:v>24.173071858074316</c:v>
                </c:pt>
                <c:pt idx="139">
                  <c:v>24.531302291968359</c:v>
                </c:pt>
                <c:pt idx="140">
                  <c:v>24.891907265582098</c:v>
                </c:pt>
                <c:pt idx="141">
                  <c:v>25.254870821978468</c:v>
                </c:pt>
                <c:pt idx="142">
                  <c:v>25.620168831954103</c:v>
                </c:pt>
                <c:pt idx="143">
                  <c:v>25.987773044997176</c:v>
                </c:pt>
                <c:pt idx="144">
                  <c:v>26.357655150537674</c:v>
                </c:pt>
                <c:pt idx="145">
                  <c:v>26.729786779785776</c:v>
                </c:pt>
                <c:pt idx="146">
                  <c:v>27.104139507551075</c:v>
                </c:pt>
                <c:pt idx="147">
                  <c:v>27.480684854042789</c:v>
                </c:pt>
                <c:pt idx="148">
                  <c:v>27.859394286651025</c:v>
                </c:pt>
                <c:pt idx="149">
                  <c:v>28.240239221709238</c:v>
                </c:pt>
                <c:pt idx="150">
                  <c:v>28.623191026237951</c:v>
                </c:pt>
                <c:pt idx="151">
                  <c:v>29.008221019669787</c:v>
                </c:pt>
                <c:pt idx="152">
                  <c:v>29.395300475555949</c:v>
                </c:pt>
                <c:pt idx="153">
                  <c:v>29.784400623254133</c:v>
                </c:pt>
                <c:pt idx="154">
                  <c:v>30.175492649597981</c:v>
                </c:pt>
                <c:pt idx="155">
                  <c:v>30.568547700548109</c:v>
                </c:pt>
                <c:pt idx="156">
                  <c:v>30.963517494337438</c:v>
                </c:pt>
                <c:pt idx="157">
                  <c:v>31.360314903095308</c:v>
                </c:pt>
                <c:pt idx="158">
                  <c:v>31.758833322833102</c:v>
                </c:pt>
                <c:pt idx="159">
                  <c:v>32.158966079906357</c:v>
                </c:pt>
                <c:pt idx="160">
                  <c:v>32.560606442458557</c:v>
                </c:pt>
                <c:pt idx="161">
                  <c:v>32.963622917995217</c:v>
                </c:pt>
                <c:pt idx="162">
                  <c:v>33.367834529864389</c:v>
                </c:pt>
                <c:pt idx="163">
                  <c:v>33.773037907820559</c:v>
                </c:pt>
                <c:pt idx="164">
                  <c:v>34.179034412096776</c:v>
                </c:pt>
                <c:pt idx="165">
                  <c:v>34.585651461062469</c:v>
                </c:pt>
                <c:pt idx="166">
                  <c:v>34.992763856948592</c:v>
                </c:pt>
                <c:pt idx="167">
                  <c:v>35.400252124604975</c:v>
                </c:pt>
                <c:pt idx="168">
                  <c:v>35.807973870714484</c:v>
                </c:pt>
                <c:pt idx="169">
                  <c:v>36.215744600184266</c:v>
                </c:pt>
                <c:pt idx="170">
                  <c:v>36.623331611297843</c:v>
                </c:pt>
                <c:pt idx="171">
                  <c:v>37.030571947081697</c:v>
                </c:pt>
                <c:pt idx="172">
                  <c:v>37.437425022746119</c:v>
                </c:pt>
                <c:pt idx="173">
                  <c:v>37.843891833507712</c:v>
                </c:pt>
                <c:pt idx="174">
                  <c:v>38.249973370979447</c:v>
                </c:pt>
                <c:pt idx="175">
                  <c:v>38.65567062318847</c:v>
                </c:pt>
                <c:pt idx="176">
                  <c:v>39.06098457459381</c:v>
                </c:pt>
                <c:pt idx="177">
                  <c:v>39.465916206103991</c:v>
                </c:pt>
                <c:pt idx="178">
                  <c:v>39.870466495094497</c:v>
                </c:pt>
                <c:pt idx="179">
                  <c:v>40.274636415425185</c:v>
                </c:pt>
                <c:pt idx="180">
                  <c:v>40.678426937457537</c:v>
                </c:pt>
                <c:pt idx="181">
                  <c:v>41.081839028071833</c:v>
                </c:pt>
                <c:pt idx="182">
                  <c:v>41.484873650684214</c:v>
                </c:pt>
                <c:pt idx="183">
                  <c:v>41.887531765263653</c:v>
                </c:pt>
                <c:pt idx="184">
                  <c:v>42.289814328348783</c:v>
                </c:pt>
                <c:pt idx="185">
                  <c:v>42.691722293064672</c:v>
                </c:pt>
                <c:pt idx="186">
                  <c:v>43.093256609139459</c:v>
                </c:pt>
                <c:pt idx="187">
                  <c:v>43.494418222920906</c:v>
                </c:pt>
                <c:pt idx="188">
                  <c:v>43.895208077392844</c:v>
                </c:pt>
                <c:pt idx="189">
                  <c:v>44.295627112191504</c:v>
                </c:pt>
                <c:pt idx="190">
                  <c:v>44.695676263621785</c:v>
                </c:pt>
                <c:pt idx="191">
                  <c:v>45.095356464673387</c:v>
                </c:pt>
                <c:pt idx="192">
                  <c:v>45.49466864503686</c:v>
                </c:pt>
                <c:pt idx="193">
                  <c:v>45.893613731119572</c:v>
                </c:pt>
                <c:pt idx="194">
                  <c:v>46.29219264606153</c:v>
                </c:pt>
                <c:pt idx="195">
                  <c:v>46.690406309751175</c:v>
                </c:pt>
                <c:pt idx="196">
                  <c:v>47.088255638841034</c:v>
                </c:pt>
                <c:pt idx="197">
                  <c:v>47.485741546763272</c:v>
                </c:pt>
                <c:pt idx="198">
                  <c:v>47.882864943745197</c:v>
                </c:pt>
                <c:pt idx="199">
                  <c:v>48.279626736824618</c:v>
                </c:pt>
                <c:pt idx="200">
                  <c:v>48.676027829865149</c:v>
                </c:pt>
                <c:pt idx="201">
                  <c:v>52.620270027285272</c:v>
                </c:pt>
                <c:pt idx="202">
                  <c:v>56.529022232688696</c:v>
                </c:pt>
                <c:pt idx="203">
                  <c:v>60.403159147599432</c:v>
                </c:pt>
                <c:pt idx="204">
                  <c:v>64.243525647747944</c:v>
                </c:pt>
                <c:pt idx="205">
                  <c:v>68.050938164023961</c:v>
                </c:pt>
                <c:pt idx="206">
                  <c:v>71.826185984073646</c:v>
                </c:pt>
                <c:pt idx="207">
                  <c:v>75.570032479984334</c:v>
                </c:pt>
                <c:pt idx="208">
                  <c:v>79.283216267067232</c:v>
                </c:pt>
                <c:pt idx="209">
                  <c:v>82.966452298355151</c:v>
                </c:pt>
                <c:pt idx="210">
                  <c:v>86.620432899073691</c:v>
                </c:pt>
                <c:pt idx="211">
                  <c:v>90.245828745017533</c:v>
                </c:pt>
                <c:pt idx="212">
                  <c:v>93.843289788464773</c:v>
                </c:pt>
                <c:pt idx="213">
                  <c:v>97.413446134989698</c:v>
                </c:pt>
                <c:pt idx="214">
                  <c:v>100.95690887428468</c:v>
                </c:pt>
                <c:pt idx="215">
                  <c:v>104.47427086787334</c:v>
                </c:pt>
                <c:pt idx="216">
                  <c:v>107.96610749638775</c:v>
                </c:pt>
                <c:pt idx="217">
                  <c:v>111.43297736889001</c:v>
                </c:pt>
                <c:pt idx="218">
                  <c:v>114.87542299654226</c:v>
                </c:pt>
                <c:pt idx="219">
                  <c:v>118.2939714327666</c:v>
                </c:pt>
                <c:pt idx="220">
                  <c:v>121.68913488188734</c:v>
                </c:pt>
                <c:pt idx="221">
                  <c:v>125.06141127811023</c:v>
                </c:pt>
                <c:pt idx="222">
                  <c:v>128.41128483656678</c:v>
                </c:pt>
                <c:pt idx="223">
                  <c:v>131.73922657803473</c:v>
                </c:pt>
                <c:pt idx="224">
                  <c:v>135.04569482883775</c:v>
                </c:pt>
                <c:pt idx="225">
                  <c:v>138.33113569732791</c:v>
                </c:pt>
                <c:pt idx="226">
                  <c:v>141.5959835282618</c:v>
                </c:pt>
                <c:pt idx="227">
                  <c:v>144.84066133629622</c:v>
                </c:pt>
                <c:pt idx="228">
                  <c:v>148.06558121975013</c:v>
                </c:pt>
                <c:pt idx="229">
                  <c:v>151.27114475570616</c:v>
                </c:pt>
                <c:pt idx="230">
                  <c:v>154.45774337745706</c:v>
                </c:pt>
                <c:pt idx="231">
                  <c:v>157.62575873523937</c:v>
                </c:pt>
                <c:pt idx="232">
                  <c:v>160.77556304113813</c:v>
                </c:pt>
                <c:pt idx="233">
                  <c:v>163.90751939899133</c:v>
                </c:pt>
                <c:pt idx="234">
                  <c:v>167.02198212007312</c:v>
                </c:pt>
                <c:pt idx="235">
                  <c:v>170.1192970252865</c:v>
                </c:pt>
                <c:pt idx="236">
                  <c:v>173.19980173455298</c:v>
                </c:pt>
                <c:pt idx="237">
                  <c:v>176.26382594404552</c:v>
                </c:pt>
                <c:pt idx="238">
                  <c:v>179.31169169187271</c:v>
                </c:pt>
                <c:pt idx="239">
                  <c:v>182.34371361278644</c:v>
                </c:pt>
                <c:pt idx="240">
                  <c:v>185.36019918245233</c:v>
                </c:pt>
                <c:pt idx="241">
                  <c:v>188.36144895179044</c:v>
                </c:pt>
                <c:pt idx="242">
                  <c:v>191.34775677186531</c:v>
                </c:pt>
                <c:pt idx="243">
                  <c:v>194.31941000977648</c:v>
                </c:pt>
                <c:pt idx="244">
                  <c:v>197.2766897559755</c:v>
                </c:pt>
                <c:pt idx="245">
                  <c:v>200.2198710234114</c:v>
                </c:pt>
                <c:pt idx="246">
                  <c:v>203.14922293888415</c:v>
                </c:pt>
                <c:pt idx="247">
                  <c:v>206.06500892696437</c:v>
                </c:pt>
                <c:pt idx="248">
                  <c:v>208.96748688681828</c:v>
                </c:pt>
                <c:pt idx="249">
                  <c:v>211.85690936225765</c:v>
                </c:pt>
                <c:pt idx="250">
                  <c:v>214.73352370531754</c:v>
                </c:pt>
                <c:pt idx="251">
                  <c:v>217.59757223364798</c:v>
                </c:pt>
                <c:pt idx="252">
                  <c:v>220.4492923819902</c:v>
                </c:pt>
                <c:pt idx="253">
                  <c:v>223.28891684799351</c:v>
                </c:pt>
                <c:pt idx="254">
                  <c:v>226.1166737326152</c:v>
                </c:pt>
                <c:pt idx="255">
                  <c:v>228.93278667533275</c:v>
                </c:pt>
                <c:pt idx="256">
                  <c:v>231.73747498438541</c:v>
                </c:pt>
                <c:pt idx="257">
                  <c:v>234.53095376225056</c:v>
                </c:pt>
                <c:pt idx="258">
                  <c:v>237.31343402654929</c:v>
                </c:pt>
                <c:pt idx="259">
                  <c:v>240.08512282656531</c:v>
                </c:pt>
                <c:pt idx="260">
                  <c:v>242.84622335555144</c:v>
                </c:pt>
                <c:pt idx="261">
                  <c:v>245.59693505898809</c:v>
                </c:pt>
                <c:pt idx="262">
                  <c:v>248.3374537389501</c:v>
                </c:pt>
                <c:pt idx="263">
                  <c:v>251.06797165472886</c:v>
                </c:pt>
                <c:pt idx="264">
                  <c:v>253.78867761984941</c:v>
                </c:pt>
                <c:pt idx="265">
                  <c:v>256.49975709561357</c:v>
                </c:pt>
                <c:pt idx="266">
                  <c:v>259.20139228129369</c:v>
                </c:pt>
                <c:pt idx="267">
                  <c:v>261.89376220109381</c:v>
                </c:pt>
                <c:pt idx="268">
                  <c:v>264.57704278798849</c:v>
                </c:pt>
                <c:pt idx="269">
                  <c:v>267.25140696454287</c:v>
                </c:pt>
                <c:pt idx="270">
                  <c:v>269.91702472081158</c:v>
                </c:pt>
                <c:pt idx="271">
                  <c:v>272.57406318940741</c:v>
                </c:pt>
                <c:pt idx="272">
                  <c:v>275.22268671782501</c:v>
                </c:pt>
                <c:pt idx="273">
                  <c:v>277.86305693809931</c:v>
                </c:pt>
                <c:pt idx="274">
                  <c:v>280.49533283387211</c:v>
                </c:pt>
                <c:pt idx="275">
                  <c:v>283.11967080493548</c:v>
                </c:pt>
                <c:pt idx="276">
                  <c:v>285.73622472931447</c:v>
                </c:pt>
                <c:pt idx="277">
                  <c:v>288.34514602294695</c:v>
                </c:pt>
                <c:pt idx="278">
                  <c:v>290.94658369701233</c:v>
                </c:pt>
                <c:pt idx="279">
                  <c:v>293.54068441295613</c:v>
                </c:pt>
                <c:pt idx="280">
                  <c:v>296.12759253525223</c:v>
                </c:pt>
                <c:pt idx="281">
                  <c:v>298.70745018193821</c:v>
                </c:pt>
                <c:pt idx="282">
                  <c:v>301.28039727295561</c:v>
                </c:pt>
                <c:pt idx="283">
                  <c:v>303.84657157631977</c:v>
                </c:pt>
                <c:pt idx="284">
                  <c:v>306.4061087521394</c:v>
                </c:pt>
                <c:pt idx="285">
                  <c:v>308.95914239449985</c:v>
                </c:pt>
                <c:pt idx="286">
                  <c:v>311.50580407121896</c:v>
                </c:pt>
                <c:pt idx="287">
                  <c:v>314.0462233614773</c:v>
                </c:pt>
                <c:pt idx="288">
                  <c:v>316.58052789131949</c:v>
                </c:pt>
                <c:pt idx="289">
                  <c:v>319.10884336701588</c:v>
                </c:pt>
                <c:pt idx="290">
                  <c:v>321.63129360626812</c:v>
                </c:pt>
                <c:pt idx="291">
                  <c:v>324.14800056723459</c:v>
                </c:pt>
                <c:pt idx="292">
                  <c:v>326.65908437534398</c:v>
                </c:pt>
                <c:pt idx="293">
                  <c:v>329.16466334785866</c:v>
                </c:pt>
                <c:pt idx="294">
                  <c:v>331.66485401614057</c:v>
                </c:pt>
                <c:pt idx="295">
                  <c:v>334.15977114556364</c:v>
                </c:pt>
                <c:pt idx="296">
                  <c:v>336.64952775300884</c:v>
                </c:pt>
                <c:pt idx="297">
                  <c:v>339.13423512186756</c:v>
                </c:pt>
                <c:pt idx="298">
                  <c:v>341.61400281446936</c:v>
                </c:pt>
                <c:pt idx="299">
                  <c:v>344.08893868183992</c:v>
                </c:pt>
                <c:pt idx="300">
                  <c:v>346.55914887068394</c:v>
                </c:pt>
                <c:pt idx="301">
                  <c:v>349.02473782747654</c:v>
                </c:pt>
                <c:pt idx="302">
                  <c:v>351.48580829953448</c:v>
                </c:pt>
                <c:pt idx="303">
                  <c:v>353.94246133292717</c:v>
                </c:pt>
                <c:pt idx="304">
                  <c:v>356.39479626707396</c:v>
                </c:pt>
                <c:pt idx="305">
                  <c:v>358.84291072586268</c:v>
                </c:pt>
                <c:pt idx="306">
                  <c:v>361.28690060511138</c:v>
                </c:pt>
                <c:pt idx="307">
                  <c:v>363.72686005618323</c:v>
                </c:pt>
                <c:pt idx="308">
                  <c:v>366.16288146555263</c:v>
                </c:pt>
                <c:pt idx="309">
                  <c:v>368.59505543011136</c:v>
                </c:pt>
                <c:pt idx="310">
                  <c:v>371.0234707279937</c:v>
                </c:pt>
                <c:pt idx="311">
                  <c:v>373.44821428469322</c:v>
                </c:pt>
                <c:pt idx="312">
                  <c:v>375.86937113424182</c:v>
                </c:pt>
                <c:pt idx="313">
                  <c:v>378.28702437522094</c:v>
                </c:pt>
                <c:pt idx="314">
                  <c:v>380.70125512138264</c:v>
                </c:pt>
                <c:pt idx="315">
                  <c:v>383.11214244667053</c:v>
                </c:pt>
                <c:pt idx="316">
                  <c:v>385.51976332445287</c:v>
                </c:pt>
                <c:pt idx="317">
                  <c:v>387.92419256081189</c:v>
                </c:pt>
                <c:pt idx="318">
                  <c:v>390.32550272177855</c:v>
                </c:pt>
                <c:pt idx="319">
                  <c:v>392.7237640544605</c:v>
                </c:pt>
                <c:pt idx="320">
                  <c:v>395.11904440208849</c:v>
                </c:pt>
                <c:pt idx="321">
                  <c:v>397.51140911310125</c:v>
                </c:pt>
                <c:pt idx="322">
                  <c:v>399.90092094450654</c:v>
                </c:pt>
                <c:pt idx="323">
                  <c:v>402.2876399598951</c:v>
                </c:pt>
                <c:pt idx="324">
                  <c:v>404.67162342264862</c:v>
                </c:pt>
                <c:pt idx="325">
                  <c:v>407.05292568506718</c:v>
                </c:pt>
                <c:pt idx="326">
                  <c:v>409.43159807434955</c:v>
                </c:pt>
                <c:pt idx="327">
                  <c:v>411.80768877658153</c:v>
                </c:pt>
                <c:pt idx="328">
                  <c:v>414.18124272012034</c:v>
                </c:pt>
                <c:pt idx="329">
                  <c:v>416.55230145999417</c:v>
                </c:pt>
                <c:pt idx="330">
                  <c:v>418.92090306515638</c:v>
                </c:pt>
                <c:pt idx="331">
                  <c:v>421.28708201062489</c:v>
                </c:pt>
                <c:pt idx="332">
                  <c:v>423.65086907668552</c:v>
                </c:pt>
                <c:pt idx="333">
                  <c:v>426.01229125742589</c:v>
                </c:pt>
                <c:pt idx="334">
                  <c:v>428.37137168087406</c:v>
                </c:pt>
                <c:pt idx="335">
                  <c:v>430.72812954293778</c:v>
                </c:pt>
                <c:pt idx="336">
                  <c:v>433.0825800571597</c:v>
                </c:pt>
                <c:pt idx="337">
                  <c:v>435.43473442202685</c:v>
                </c:pt>
                <c:pt idx="338">
                  <c:v>437.78459980720095</c:v>
                </c:pt>
                <c:pt idx="339">
                  <c:v>440.13217935959045</c:v>
                </c:pt>
                <c:pt idx="340">
                  <c:v>442.47747222968121</c:v>
                </c:pt>
                <c:pt idx="341">
                  <c:v>444.82047361801739</c:v>
                </c:pt>
                <c:pt idx="342">
                  <c:v>447.16117484120036</c:v>
                </c:pt>
                <c:pt idx="343">
                  <c:v>449.49956341628928</c:v>
                </c:pt>
                <c:pt idx="344">
                  <c:v>451.83562316206263</c:v>
                </c:pt>
                <c:pt idx="345">
                  <c:v>454.16933431526274</c:v>
                </c:pt>
                <c:pt idx="346">
                  <c:v>456.50067365970239</c:v>
                </c:pt>
                <c:pt idx="347">
                  <c:v>458.82961466597123</c:v>
                </c:pt>
                <c:pt idx="348">
                  <c:v>461.1561276394367</c:v>
                </c:pt>
                <c:pt idx="349">
                  <c:v>463.48017987427647</c:v>
                </c:pt>
                <c:pt idx="350">
                  <c:v>465.80173581139672</c:v>
                </c:pt>
                <c:pt idx="351">
                  <c:v>468.12075719826157</c:v>
                </c:pt>
                <c:pt idx="352">
                  <c:v>470.43720324887033</c:v>
                </c:pt>
                <c:pt idx="353">
                  <c:v>472.75103080235135</c:v>
                </c:pt>
                <c:pt idx="354">
                  <c:v>475.06219447888031</c:v>
                </c:pt>
                <c:pt idx="355">
                  <c:v>477.3706468318681</c:v>
                </c:pt>
                <c:pt idx="356">
                  <c:v>479.67633849558501</c:v>
                </c:pt>
                <c:pt idx="357">
                  <c:v>481.97921832759278</c:v>
                </c:pt>
                <c:pt idx="358">
                  <c:v>484.27923354553729</c:v>
                </c:pt>
                <c:pt idx="359">
                  <c:v>486.57632985801212</c:v>
                </c:pt>
                <c:pt idx="360">
                  <c:v>488.87045158933643</c:v>
                </c:pt>
                <c:pt idx="361">
                  <c:v>491.16154179820154</c:v>
                </c:pt>
                <c:pt idx="362">
                  <c:v>493.44954239022877</c:v>
                </c:pt>
                <c:pt idx="363">
                  <c:v>495.73439422455164</c:v>
                </c:pt>
                <c:pt idx="364">
                  <c:v>498.01603721458952</c:v>
                </c:pt>
                <c:pt idx="365">
                  <c:v>500.29441042321764</c:v>
                </c:pt>
                <c:pt idx="366">
                  <c:v>502.56945215256786</c:v>
                </c:pt>
                <c:pt idx="367">
                  <c:v>504.84110002870989</c:v>
                </c:pt>
                <c:pt idx="368">
                  <c:v>507.10929108147428</c:v>
                </c:pt>
                <c:pt idx="369">
                  <c:v>509.37396181968103</c:v>
                </c:pt>
                <c:pt idx="370">
                  <c:v>511.63504830203561</c:v>
                </c:pt>
                <c:pt idx="371">
                  <c:v>513.89248620395028</c:v>
                </c:pt>
                <c:pt idx="372">
                  <c:v>516.14621088054002</c:v>
                </c:pt>
                <c:pt idx="373">
                  <c:v>518.39615742603144</c:v>
                </c:pt>
                <c:pt idx="374">
                  <c:v>520.64226072981478</c:v>
                </c:pt>
                <c:pt idx="375">
                  <c:v>522.88445552935354</c:v>
                </c:pt>
                <c:pt idx="376">
                  <c:v>525.12267646015641</c:v>
                </c:pt>
                <c:pt idx="377">
                  <c:v>527.35685810300345</c:v>
                </c:pt>
                <c:pt idx="378">
                  <c:v>529.58693502860501</c:v>
                </c:pt>
                <c:pt idx="379">
                  <c:v>531.81284183986088</c:v>
                </c:pt>
                <c:pt idx="380">
                  <c:v>534.03451321187561</c:v>
                </c:pt>
                <c:pt idx="381">
                  <c:v>536.25188392987491</c:v>
                </c:pt>
                <c:pt idx="382">
                  <c:v>538.46488892515595</c:v>
                </c:pt>
                <c:pt idx="383">
                  <c:v>540.67346330919827</c:v>
                </c:pt>
                <c:pt idx="384">
                  <c:v>542.87754240604806</c:v>
                </c:pt>
                <c:pt idx="385">
                  <c:v>545.07706178308388</c:v>
                </c:pt>
                <c:pt idx="386">
                  <c:v>547.27195728026174</c:v>
                </c:pt>
                <c:pt idx="387">
                  <c:v>549.46216503793005</c:v>
                </c:pt>
                <c:pt idx="388">
                  <c:v>551.64762152329899</c:v>
                </c:pt>
                <c:pt idx="389">
                  <c:v>553.8282635556418</c:v>
                </c:pt>
                <c:pt idx="390">
                  <c:v>556.00402833029909</c:v>
                </c:pt>
                <c:pt idx="391">
                  <c:v>558.17485344155341</c:v>
                </c:pt>
                <c:pt idx="392">
                  <c:v>560.34067690443385</c:v>
                </c:pt>
                <c:pt idx="393">
                  <c:v>562.50143717550839</c:v>
                </c:pt>
                <c:pt idx="394">
                  <c:v>564.6570731727154</c:v>
                </c:pt>
                <c:pt idx="395">
                  <c:v>566.8075242942831</c:v>
                </c:pt>
                <c:pt idx="396">
                  <c:v>568.95273043678139</c:v>
                </c:pt>
                <c:pt idx="397">
                  <c:v>571.09263201234796</c:v>
                </c:pt>
                <c:pt idx="398">
                  <c:v>573.22716996512611</c:v>
                </c:pt>
                <c:pt idx="399">
                  <c:v>575.35628578695105</c:v>
                </c:pt>
                <c:pt idx="400">
                  <c:v>577.47992153231678</c:v>
                </c:pt>
                <c:pt idx="401">
                  <c:v>579.59801983265447</c:v>
                </c:pt>
                <c:pt idx="402">
                  <c:v>581.71052390995146</c:v>
                </c:pt>
                <c:pt idx="403">
                  <c:v>583.81737758973657</c:v>
                </c:pt>
                <c:pt idx="404">
                  <c:v>585.91852531345694</c:v>
                </c:pt>
                <c:pt idx="405">
                  <c:v>588.01391215026979</c:v>
                </c:pt>
                <c:pt idx="406">
                  <c:v>590.10348380826986</c:v>
                </c:pt>
                <c:pt idx="407">
                  <c:v>592.18718664517326</c:v>
                </c:pt>
                <c:pt idx="408">
                  <c:v>594.26496767847698</c:v>
                </c:pt>
                <c:pt idx="409">
                  <c:v>596.33677459511068</c:v>
                </c:pt>
                <c:pt idx="410">
                  <c:v>598.40255576059837</c:v>
                </c:pt>
                <c:pt idx="411">
                  <c:v>600.46226022774522</c:v>
                </c:pt>
                <c:pt idx="412">
                  <c:v>602.51583774486426</c:v>
                </c:pt>
                <c:pt idx="413">
                  <c:v>604.56323876355691</c:v>
                </c:pt>
                <c:pt idx="414">
                  <c:v>606.60441444606056</c:v>
                </c:pt>
                <c:pt idx="415">
                  <c:v>608.63931667217514</c:v>
                </c:pt>
                <c:pt idx="416">
                  <c:v>610.66789804578139</c:v>
                </c:pt>
                <c:pt idx="417">
                  <c:v>612.6901119009608</c:v>
                </c:pt>
                <c:pt idx="418">
                  <c:v>614.70591230772902</c:v>
                </c:pt>
                <c:pt idx="419">
                  <c:v>616.71525407739205</c:v>
                </c:pt>
                <c:pt idx="420">
                  <c:v>618.71809276753504</c:v>
                </c:pt>
                <c:pt idx="421">
                  <c:v>620.71438468665383</c:v>
                </c:pt>
                <c:pt idx="422">
                  <c:v>622.70408689843612</c:v>
                </c:pt>
                <c:pt idx="423">
                  <c:v>624.687157225703</c:v>
                </c:pt>
                <c:pt idx="424">
                  <c:v>626.66355425401764</c:v>
                </c:pt>
                <c:pt idx="425">
                  <c:v>628.63323733496918</c:v>
                </c:pt>
                <c:pt idx="426">
                  <c:v>630.59616658913967</c:v>
                </c:pt>
                <c:pt idx="427">
                  <c:v>632.55230290876148</c:v>
                </c:pt>
                <c:pt idx="428">
                  <c:v>634.50160796007196</c:v>
                </c:pt>
                <c:pt idx="429">
                  <c:v>636.44404418537215</c:v>
                </c:pt>
                <c:pt idx="430">
                  <c:v>638.37957480479668</c:v>
                </c:pt>
                <c:pt idx="431">
                  <c:v>640.30816381780085</c:v>
                </c:pt>
                <c:pt idx="432">
                  <c:v>642.22977600437162</c:v>
                </c:pt>
                <c:pt idx="433">
                  <c:v>644.14437692596823</c:v>
                </c:pt>
                <c:pt idx="434">
                  <c:v>646.0519329261989</c:v>
                </c:pt>
                <c:pt idx="435">
                  <c:v>647.95241113123939</c:v>
                </c:pt>
                <c:pt idx="436">
                  <c:v>649.84577944999853</c:v>
                </c:pt>
                <c:pt idx="437">
                  <c:v>651.73200657403731</c:v>
                </c:pt>
                <c:pt idx="438">
                  <c:v>653.61106197724678</c:v>
                </c:pt>
                <c:pt idx="439">
                  <c:v>655.48291591528937</c:v>
                </c:pt>
                <c:pt idx="440">
                  <c:v>657.34753942481018</c:v>
                </c:pt>
                <c:pt idx="441">
                  <c:v>659.20490432242298</c:v>
                </c:pt>
                <c:pt idx="442">
                  <c:v>661.05498320347522</c:v>
                </c:pt>
                <c:pt idx="443">
                  <c:v>662.897749440599</c:v>
                </c:pt>
                <c:pt idx="444">
                  <c:v>664.73317718205101</c:v>
                </c:pt>
                <c:pt idx="445">
                  <c:v>666.56124134984782</c:v>
                </c:pt>
                <c:pt idx="446">
                  <c:v>668.38191763770055</c:v>
                </c:pt>
                <c:pt idx="447">
                  <c:v>670.19518250875467</c:v>
                </c:pt>
                <c:pt idx="448">
                  <c:v>672.00101319313796</c:v>
                </c:pt>
                <c:pt idx="449">
                  <c:v>673.79938768532372</c:v>
                </c:pt>
                <c:pt idx="450">
                  <c:v>675.59028474131162</c:v>
                </c:pt>
                <c:pt idx="451">
                  <c:v>677.3736838756322</c:v>
                </c:pt>
                <c:pt idx="452">
                  <c:v>679.14956535817919</c:v>
                </c:pt>
                <c:pt idx="453">
                  <c:v>680.91791021087363</c:v>
                </c:pt>
                <c:pt idx="454">
                  <c:v>682.67870020416524</c:v>
                </c:pt>
                <c:pt idx="455">
                  <c:v>684.43191785337467</c:v>
                </c:pt>
                <c:pt idx="456">
                  <c:v>686.17754641488114</c:v>
                </c:pt>
                <c:pt idx="457">
                  <c:v>687.91556988215996</c:v>
                </c:pt>
                <c:pt idx="458">
                  <c:v>689.64597298167394</c:v>
                </c:pt>
                <c:pt idx="459">
                  <c:v>691.3687411686235</c:v>
                </c:pt>
                <c:pt idx="460">
                  <c:v>693.08386062255897</c:v>
                </c:pt>
                <c:pt idx="461">
                  <c:v>694.79131824285923</c:v>
                </c:pt>
                <c:pt idx="462">
                  <c:v>696.49110164408182</c:v>
                </c:pt>
                <c:pt idx="463">
                  <c:v>698.1831991511873</c:v>
                </c:pt>
                <c:pt idx="464">
                  <c:v>699.8675997946425</c:v>
                </c:pt>
                <c:pt idx="465">
                  <c:v>701.54429330540677</c:v>
                </c:pt>
                <c:pt idx="466">
                  <c:v>703.21327010980508</c:v>
                </c:pt>
                <c:pt idx="467">
                  <c:v>704.87452132429121</c:v>
                </c:pt>
                <c:pt idx="468">
                  <c:v>706.52803875010602</c:v>
                </c:pt>
                <c:pt idx="469">
                  <c:v>708.17381486783415</c:v>
                </c:pt>
                <c:pt idx="470">
                  <c:v>709.81184283186224</c:v>
                </c:pt>
                <c:pt idx="471">
                  <c:v>711.44211646474332</c:v>
                </c:pt>
                <c:pt idx="472">
                  <c:v>713.06463025147116</c:v>
                </c:pt>
                <c:pt idx="473">
                  <c:v>714.67937933366693</c:v>
                </c:pt>
                <c:pt idx="474">
                  <c:v>716.28635950368346</c:v>
                </c:pt>
                <c:pt idx="475">
                  <c:v>717.88556719862947</c:v>
                </c:pt>
                <c:pt idx="476">
                  <c:v>719.47699949431774</c:v>
                </c:pt>
                <c:pt idx="477">
                  <c:v>721.06065409914072</c:v>
                </c:pt>
                <c:pt idx="478">
                  <c:v>722.63652934787672</c:v>
                </c:pt>
                <c:pt idx="479">
                  <c:v>724.2046241954306</c:v>
                </c:pt>
                <c:pt idx="480">
                  <c:v>725.76493821051167</c:v>
                </c:pt>
                <c:pt idx="481">
                  <c:v>727.31747156925269</c:v>
                </c:pt>
                <c:pt idx="482">
                  <c:v>728.86222504877264</c:v>
                </c:pt>
                <c:pt idx="483">
                  <c:v>730.39920002068686</c:v>
                </c:pt>
                <c:pt idx="484">
                  <c:v>731.92839844456773</c:v>
                </c:pt>
                <c:pt idx="485">
                  <c:v>733.4498228613586</c:v>
                </c:pt>
                <c:pt idx="486">
                  <c:v>734.96347638674479</c:v>
                </c:pt>
                <c:pt idx="487">
                  <c:v>736.46936270448339</c:v>
                </c:pt>
                <c:pt idx="488">
                  <c:v>737.96748605969674</c:v>
                </c:pt>
                <c:pt idx="489">
                  <c:v>739.45785125213024</c:v>
                </c:pt>
                <c:pt idx="490">
                  <c:v>740.94046362937922</c:v>
                </c:pt>
                <c:pt idx="491">
                  <c:v>742.41532908008696</c:v>
                </c:pt>
                <c:pt idx="492">
                  <c:v>743.88245402711641</c:v>
                </c:pt>
                <c:pt idx="493">
                  <c:v>745.34184542069841</c:v>
                </c:pt>
                <c:pt idx="494">
                  <c:v>746.7935107315601</c:v>
                </c:pt>
                <c:pt idx="495">
                  <c:v>748.2374579440343</c:v>
                </c:pt>
                <c:pt idx="496">
                  <c:v>749.67369554915388</c:v>
                </c:pt>
                <c:pt idx="497">
                  <c:v>751.10223253773347</c:v>
                </c:pt>
                <c:pt idx="498">
                  <c:v>752.5230783934403</c:v>
                </c:pt>
                <c:pt idx="499">
                  <c:v>753.9362430858572</c:v>
                </c:pt>
                <c:pt idx="500">
                  <c:v>755.34173706353977</c:v>
                </c:pt>
                <c:pt idx="501">
                  <c:v>756.73957124707067</c:v>
                </c:pt>
                <c:pt idx="502">
                  <c:v>758.12975702211259</c:v>
                </c:pt>
                <c:pt idx="503">
                  <c:v>759.51230623246215</c:v>
                </c:pt>
                <c:pt idx="504">
                  <c:v>760.88723117310781</c:v>
                </c:pt>
                <c:pt idx="505">
                  <c:v>762.25454458329284</c:v>
                </c:pt>
                <c:pt idx="506">
                  <c:v>763.61425963958618</c:v>
                </c:pt>
                <c:pt idx="507">
                  <c:v>764.96638994896239</c:v>
                </c:pt>
                <c:pt idx="508">
                  <c:v>766.31094954189393</c:v>
                </c:pt>
                <c:pt idx="509">
                  <c:v>767.64795286545655</c:v>
                </c:pt>
                <c:pt idx="510">
                  <c:v>768.97741477645013</c:v>
                </c:pt>
                <c:pt idx="511">
                  <c:v>770.29935053453733</c:v>
                </c:pt>
                <c:pt idx="512">
                  <c:v>771.61377579540044</c:v>
                </c:pt>
                <c:pt idx="513">
                  <c:v>772.92070660391971</c:v>
                </c:pt>
                <c:pt idx="514">
                  <c:v>774.22015938737411</c:v>
                </c:pt>
                <c:pt idx="515">
                  <c:v>775.51215094866609</c:v>
                </c:pt>
                <c:pt idx="516">
                  <c:v>776.79669845957221</c:v>
                </c:pt>
                <c:pt idx="517">
                  <c:v>778.07381945402119</c:v>
                </c:pt>
                <c:pt idx="518">
                  <c:v>779.3435318214008</c:v>
                </c:pt>
                <c:pt idx="519">
                  <c:v>780.60585379989482</c:v>
                </c:pt>
                <c:pt idx="520">
                  <c:v>780.60585379989482</c:v>
                </c:pt>
                <c:pt idx="521">
                  <c:v>780.60585379989482</c:v>
                </c:pt>
                <c:pt idx="522">
                  <c:v>780.60585379989482</c:v>
                </c:pt>
                <c:pt idx="523">
                  <c:v>780.60585379989482</c:v>
                </c:pt>
                <c:pt idx="524">
                  <c:v>780.60585379989482</c:v>
                </c:pt>
                <c:pt idx="525">
                  <c:v>780.60585379989482</c:v>
                </c:pt>
                <c:pt idx="526">
                  <c:v>780.60585379989482</c:v>
                </c:pt>
                <c:pt idx="527">
                  <c:v>780.60585379989482</c:v>
                </c:pt>
                <c:pt idx="528">
                  <c:v>780.60585379989482</c:v>
                </c:pt>
                <c:pt idx="529">
                  <c:v>780.60585379989482</c:v>
                </c:pt>
                <c:pt idx="530">
                  <c:v>780.60585379989482</c:v>
                </c:pt>
                <c:pt idx="531">
                  <c:v>780.60585379989482</c:v>
                </c:pt>
                <c:pt idx="532">
                  <c:v>780.60585379989482</c:v>
                </c:pt>
                <c:pt idx="533">
                  <c:v>780.60585379989482</c:v>
                </c:pt>
                <c:pt idx="534">
                  <c:v>780.60585379989482</c:v>
                </c:pt>
                <c:pt idx="535">
                  <c:v>780.60585379989482</c:v>
                </c:pt>
                <c:pt idx="536">
                  <c:v>780.60585379989482</c:v>
                </c:pt>
                <c:pt idx="537">
                  <c:v>780.60585379989482</c:v>
                </c:pt>
                <c:pt idx="538">
                  <c:v>780.60585379989482</c:v>
                </c:pt>
                <c:pt idx="539">
                  <c:v>780.60585379989482</c:v>
                </c:pt>
                <c:pt idx="540">
                  <c:v>780.60585379989482</c:v>
                </c:pt>
                <c:pt idx="541">
                  <c:v>780.60585379989482</c:v>
                </c:pt>
                <c:pt idx="542">
                  <c:v>780.60585379989482</c:v>
                </c:pt>
                <c:pt idx="543">
                  <c:v>780.60585379989482</c:v>
                </c:pt>
                <c:pt idx="544">
                  <c:v>780.60585379989482</c:v>
                </c:pt>
                <c:pt idx="545">
                  <c:v>780.60585379989482</c:v>
                </c:pt>
                <c:pt idx="546">
                  <c:v>780.60585379989482</c:v>
                </c:pt>
                <c:pt idx="547">
                  <c:v>780.60585379989482</c:v>
                </c:pt>
                <c:pt idx="548">
                  <c:v>780.60585379989482</c:v>
                </c:pt>
                <c:pt idx="549">
                  <c:v>780.60585379989482</c:v>
                </c:pt>
                <c:pt idx="550">
                  <c:v>780.60585379989482</c:v>
                </c:pt>
                <c:pt idx="551">
                  <c:v>780.60585379989482</c:v>
                </c:pt>
                <c:pt idx="552">
                  <c:v>780.60585379989482</c:v>
                </c:pt>
                <c:pt idx="553">
                  <c:v>780.60585379989482</c:v>
                </c:pt>
                <c:pt idx="554">
                  <c:v>780.60585379989482</c:v>
                </c:pt>
                <c:pt idx="555">
                  <c:v>780.60585379989482</c:v>
                </c:pt>
                <c:pt idx="556">
                  <c:v>780.60585379989482</c:v>
                </c:pt>
                <c:pt idx="557">
                  <c:v>780.60585379989482</c:v>
                </c:pt>
                <c:pt idx="558">
                  <c:v>780.60585379989482</c:v>
                </c:pt>
                <c:pt idx="559">
                  <c:v>780.60585379989482</c:v>
                </c:pt>
                <c:pt idx="560">
                  <c:v>780.60585379989482</c:v>
                </c:pt>
                <c:pt idx="561">
                  <c:v>780.60585379989482</c:v>
                </c:pt>
                <c:pt idx="562">
                  <c:v>780.60585379989482</c:v>
                </c:pt>
                <c:pt idx="563">
                  <c:v>780.60585379989482</c:v>
                </c:pt>
                <c:pt idx="564">
                  <c:v>780.60585379989482</c:v>
                </c:pt>
                <c:pt idx="565">
                  <c:v>780.60585379989482</c:v>
                </c:pt>
                <c:pt idx="566">
                  <c:v>780.60585379989482</c:v>
                </c:pt>
                <c:pt idx="567">
                  <c:v>780.60585379989482</c:v>
                </c:pt>
                <c:pt idx="568">
                  <c:v>780.60585379989482</c:v>
                </c:pt>
                <c:pt idx="569">
                  <c:v>780.60585379989482</c:v>
                </c:pt>
                <c:pt idx="570">
                  <c:v>780.60585379989482</c:v>
                </c:pt>
                <c:pt idx="571">
                  <c:v>780.60585379989482</c:v>
                </c:pt>
                <c:pt idx="572">
                  <c:v>780.60585379989482</c:v>
                </c:pt>
                <c:pt idx="573">
                  <c:v>780.60585379989482</c:v>
                </c:pt>
                <c:pt idx="574">
                  <c:v>780.60585379989482</c:v>
                </c:pt>
                <c:pt idx="575">
                  <c:v>780.60585379989482</c:v>
                </c:pt>
                <c:pt idx="576">
                  <c:v>780.60585379989482</c:v>
                </c:pt>
                <c:pt idx="577">
                  <c:v>780.60585379989482</c:v>
                </c:pt>
                <c:pt idx="578">
                  <c:v>780.60585379989482</c:v>
                </c:pt>
                <c:pt idx="579">
                  <c:v>780.60585379989482</c:v>
                </c:pt>
                <c:pt idx="580">
                  <c:v>780.60585379989482</c:v>
                </c:pt>
                <c:pt idx="581">
                  <c:v>780.60585379989482</c:v>
                </c:pt>
                <c:pt idx="582">
                  <c:v>780.60585379989482</c:v>
                </c:pt>
                <c:pt idx="583">
                  <c:v>780.60585379989482</c:v>
                </c:pt>
                <c:pt idx="584">
                  <c:v>780.60585379989482</c:v>
                </c:pt>
                <c:pt idx="585">
                  <c:v>780.60585379989482</c:v>
                </c:pt>
                <c:pt idx="586">
                  <c:v>780.60585379989482</c:v>
                </c:pt>
                <c:pt idx="587">
                  <c:v>780.60585379989482</c:v>
                </c:pt>
                <c:pt idx="588">
                  <c:v>780.60585379989482</c:v>
                </c:pt>
                <c:pt idx="589">
                  <c:v>780.60585379989482</c:v>
                </c:pt>
                <c:pt idx="590">
                  <c:v>780.60585379989482</c:v>
                </c:pt>
                <c:pt idx="591">
                  <c:v>780.60585379989482</c:v>
                </c:pt>
                <c:pt idx="592">
                  <c:v>780.60585379989482</c:v>
                </c:pt>
                <c:pt idx="593">
                  <c:v>780.60585379989482</c:v>
                </c:pt>
                <c:pt idx="594">
                  <c:v>780.60585379989482</c:v>
                </c:pt>
                <c:pt idx="595">
                  <c:v>780.60585379989482</c:v>
                </c:pt>
                <c:pt idx="596">
                  <c:v>780.60585379989482</c:v>
                </c:pt>
                <c:pt idx="597">
                  <c:v>780.60585379989482</c:v>
                </c:pt>
                <c:pt idx="598">
                  <c:v>780.60585379989482</c:v>
                </c:pt>
                <c:pt idx="599">
                  <c:v>780.60585379989482</c:v>
                </c:pt>
                <c:pt idx="600">
                  <c:v>780.60585379989482</c:v>
                </c:pt>
                <c:pt idx="601">
                  <c:v>780.60585379989482</c:v>
                </c:pt>
                <c:pt idx="602">
                  <c:v>780.60585379989482</c:v>
                </c:pt>
                <c:pt idx="603">
                  <c:v>780.60585379989482</c:v>
                </c:pt>
                <c:pt idx="604">
                  <c:v>780.60585379989482</c:v>
                </c:pt>
                <c:pt idx="605">
                  <c:v>780.60585379989482</c:v>
                </c:pt>
                <c:pt idx="606">
                  <c:v>780.60585379989482</c:v>
                </c:pt>
                <c:pt idx="607">
                  <c:v>780.60585379989482</c:v>
                </c:pt>
                <c:pt idx="608">
                  <c:v>780.60585379989482</c:v>
                </c:pt>
                <c:pt idx="609">
                  <c:v>780.60585379989482</c:v>
                </c:pt>
                <c:pt idx="610">
                  <c:v>780.60585379989482</c:v>
                </c:pt>
                <c:pt idx="611">
                  <c:v>780.60585379989482</c:v>
                </c:pt>
                <c:pt idx="612">
                  <c:v>780.60585379989482</c:v>
                </c:pt>
                <c:pt idx="613">
                  <c:v>780.60585379989482</c:v>
                </c:pt>
                <c:pt idx="614">
                  <c:v>780.60585379989482</c:v>
                </c:pt>
                <c:pt idx="615">
                  <c:v>780.60585379989482</c:v>
                </c:pt>
                <c:pt idx="616">
                  <c:v>780.60585379989482</c:v>
                </c:pt>
                <c:pt idx="617">
                  <c:v>780.60585379989482</c:v>
                </c:pt>
                <c:pt idx="618">
                  <c:v>780.60585379989482</c:v>
                </c:pt>
                <c:pt idx="619">
                  <c:v>780.60585379989482</c:v>
                </c:pt>
                <c:pt idx="620">
                  <c:v>780.60585379989482</c:v>
                </c:pt>
                <c:pt idx="621">
                  <c:v>780.60585379989482</c:v>
                </c:pt>
                <c:pt idx="622">
                  <c:v>780.60585379989482</c:v>
                </c:pt>
                <c:pt idx="623">
                  <c:v>780.60585379989482</c:v>
                </c:pt>
                <c:pt idx="624">
                  <c:v>780.60585379989482</c:v>
                </c:pt>
                <c:pt idx="625">
                  <c:v>780.60585379989482</c:v>
                </c:pt>
                <c:pt idx="626">
                  <c:v>780.60585379989482</c:v>
                </c:pt>
                <c:pt idx="627">
                  <c:v>780.60585379989482</c:v>
                </c:pt>
                <c:pt idx="628">
                  <c:v>780.60585379989482</c:v>
                </c:pt>
                <c:pt idx="629">
                  <c:v>780.60585379989482</c:v>
                </c:pt>
                <c:pt idx="630">
                  <c:v>780.60585379989482</c:v>
                </c:pt>
                <c:pt idx="631">
                  <c:v>780.60585379989482</c:v>
                </c:pt>
                <c:pt idx="632">
                  <c:v>780.60585379989482</c:v>
                </c:pt>
                <c:pt idx="633">
                  <c:v>780.60585379989482</c:v>
                </c:pt>
                <c:pt idx="634">
                  <c:v>780.60585379989482</c:v>
                </c:pt>
                <c:pt idx="635">
                  <c:v>780.60585379989482</c:v>
                </c:pt>
                <c:pt idx="636">
                  <c:v>780.60585379989482</c:v>
                </c:pt>
                <c:pt idx="637">
                  <c:v>780.60585379989482</c:v>
                </c:pt>
                <c:pt idx="638">
                  <c:v>780.60585379989482</c:v>
                </c:pt>
                <c:pt idx="639">
                  <c:v>780.60585379989482</c:v>
                </c:pt>
                <c:pt idx="640">
                  <c:v>780.60585379989482</c:v>
                </c:pt>
                <c:pt idx="641">
                  <c:v>780.60585379989482</c:v>
                </c:pt>
                <c:pt idx="642">
                  <c:v>780.60585379989482</c:v>
                </c:pt>
                <c:pt idx="643">
                  <c:v>780.60585379989482</c:v>
                </c:pt>
                <c:pt idx="644">
                  <c:v>780.60585379989482</c:v>
                </c:pt>
                <c:pt idx="645">
                  <c:v>780.60585379989482</c:v>
                </c:pt>
                <c:pt idx="646">
                  <c:v>780.60585379989482</c:v>
                </c:pt>
                <c:pt idx="647">
                  <c:v>780.60585379989482</c:v>
                </c:pt>
                <c:pt idx="648">
                  <c:v>780.60585379989482</c:v>
                </c:pt>
                <c:pt idx="649">
                  <c:v>780.60585379989482</c:v>
                </c:pt>
                <c:pt idx="650">
                  <c:v>780.60585379989482</c:v>
                </c:pt>
                <c:pt idx="651">
                  <c:v>780.60585379989482</c:v>
                </c:pt>
                <c:pt idx="652">
                  <c:v>780.60585379989482</c:v>
                </c:pt>
                <c:pt idx="653">
                  <c:v>780.60585379989482</c:v>
                </c:pt>
                <c:pt idx="654">
                  <c:v>780.60585379989482</c:v>
                </c:pt>
                <c:pt idx="655">
                  <c:v>780.60585379989482</c:v>
                </c:pt>
                <c:pt idx="656">
                  <c:v>780.60585379989482</c:v>
                </c:pt>
                <c:pt idx="657">
                  <c:v>780.60585379989482</c:v>
                </c:pt>
                <c:pt idx="658">
                  <c:v>780.60585379989482</c:v>
                </c:pt>
                <c:pt idx="659">
                  <c:v>780.60585379989482</c:v>
                </c:pt>
                <c:pt idx="660">
                  <c:v>780.60585379989482</c:v>
                </c:pt>
                <c:pt idx="661">
                  <c:v>780.60585379989482</c:v>
                </c:pt>
                <c:pt idx="662">
                  <c:v>780.60585379989482</c:v>
                </c:pt>
                <c:pt idx="663">
                  <c:v>780.60585379989482</c:v>
                </c:pt>
                <c:pt idx="664">
                  <c:v>780.60585379989482</c:v>
                </c:pt>
                <c:pt idx="665">
                  <c:v>780.60585379989482</c:v>
                </c:pt>
                <c:pt idx="666">
                  <c:v>780.60585379989482</c:v>
                </c:pt>
                <c:pt idx="667">
                  <c:v>780.60585379989482</c:v>
                </c:pt>
                <c:pt idx="668">
                  <c:v>780.60585379989482</c:v>
                </c:pt>
                <c:pt idx="669">
                  <c:v>780.60585379989482</c:v>
                </c:pt>
                <c:pt idx="670">
                  <c:v>780.60585379989482</c:v>
                </c:pt>
                <c:pt idx="671">
                  <c:v>780.60585379989482</c:v>
                </c:pt>
                <c:pt idx="672">
                  <c:v>780.60585379989482</c:v>
                </c:pt>
                <c:pt idx="673">
                  <c:v>780.60585379989482</c:v>
                </c:pt>
                <c:pt idx="674">
                  <c:v>780.60585379989482</c:v>
                </c:pt>
                <c:pt idx="675">
                  <c:v>780.60585379989482</c:v>
                </c:pt>
                <c:pt idx="676">
                  <c:v>780.60585379989482</c:v>
                </c:pt>
                <c:pt idx="677">
                  <c:v>780.60585379989482</c:v>
                </c:pt>
                <c:pt idx="678">
                  <c:v>780.60585379989482</c:v>
                </c:pt>
                <c:pt idx="679">
                  <c:v>780.60585379989482</c:v>
                </c:pt>
                <c:pt idx="680">
                  <c:v>780.60585379989482</c:v>
                </c:pt>
                <c:pt idx="681">
                  <c:v>780.60585379989482</c:v>
                </c:pt>
                <c:pt idx="682">
                  <c:v>780.60585379989482</c:v>
                </c:pt>
                <c:pt idx="683">
                  <c:v>780.60585379989482</c:v>
                </c:pt>
                <c:pt idx="684">
                  <c:v>780.60585379989482</c:v>
                </c:pt>
                <c:pt idx="685">
                  <c:v>780.60585379989482</c:v>
                </c:pt>
                <c:pt idx="686">
                  <c:v>780.60585379989482</c:v>
                </c:pt>
                <c:pt idx="687">
                  <c:v>780.60585379989482</c:v>
                </c:pt>
                <c:pt idx="688">
                  <c:v>780.60585379989482</c:v>
                </c:pt>
                <c:pt idx="689">
                  <c:v>780.60585379989482</c:v>
                </c:pt>
                <c:pt idx="690">
                  <c:v>780.60585379989482</c:v>
                </c:pt>
                <c:pt idx="691">
                  <c:v>780.60585379989482</c:v>
                </c:pt>
                <c:pt idx="692">
                  <c:v>780.60585379989482</c:v>
                </c:pt>
                <c:pt idx="693">
                  <c:v>780.60585379989482</c:v>
                </c:pt>
                <c:pt idx="694">
                  <c:v>780.60585379989482</c:v>
                </c:pt>
                <c:pt idx="695">
                  <c:v>780.60585379989482</c:v>
                </c:pt>
                <c:pt idx="696">
                  <c:v>780.60585379989482</c:v>
                </c:pt>
                <c:pt idx="697">
                  <c:v>780.60585379989482</c:v>
                </c:pt>
                <c:pt idx="698">
                  <c:v>780.60585379989482</c:v>
                </c:pt>
                <c:pt idx="699">
                  <c:v>780.60585379989482</c:v>
                </c:pt>
                <c:pt idx="700">
                  <c:v>780.60585379989482</c:v>
                </c:pt>
                <c:pt idx="701">
                  <c:v>780.60585379989482</c:v>
                </c:pt>
                <c:pt idx="702">
                  <c:v>780.60585379989482</c:v>
                </c:pt>
                <c:pt idx="703">
                  <c:v>780.60585379989482</c:v>
                </c:pt>
                <c:pt idx="704">
                  <c:v>780.60585379989482</c:v>
                </c:pt>
                <c:pt idx="705">
                  <c:v>780.60585379989482</c:v>
                </c:pt>
                <c:pt idx="706">
                  <c:v>780.60585379989482</c:v>
                </c:pt>
                <c:pt idx="707">
                  <c:v>780.60585379989482</c:v>
                </c:pt>
                <c:pt idx="708">
                  <c:v>780.60585379989482</c:v>
                </c:pt>
                <c:pt idx="709">
                  <c:v>780.60585379989482</c:v>
                </c:pt>
                <c:pt idx="710">
                  <c:v>780.60585379989482</c:v>
                </c:pt>
                <c:pt idx="711">
                  <c:v>780.60585379989482</c:v>
                </c:pt>
                <c:pt idx="712">
                  <c:v>780.60585379989482</c:v>
                </c:pt>
                <c:pt idx="713">
                  <c:v>780.60585379989482</c:v>
                </c:pt>
                <c:pt idx="714">
                  <c:v>780.60585379989482</c:v>
                </c:pt>
                <c:pt idx="715">
                  <c:v>780.60585379989482</c:v>
                </c:pt>
                <c:pt idx="716">
                  <c:v>780.60585379989482</c:v>
                </c:pt>
                <c:pt idx="717">
                  <c:v>780.60585379989482</c:v>
                </c:pt>
                <c:pt idx="718">
                  <c:v>780.60585379989482</c:v>
                </c:pt>
                <c:pt idx="719">
                  <c:v>780.60585379989482</c:v>
                </c:pt>
                <c:pt idx="720">
                  <c:v>780.60585379989482</c:v>
                </c:pt>
                <c:pt idx="721">
                  <c:v>780.60585379989482</c:v>
                </c:pt>
                <c:pt idx="722">
                  <c:v>780.60585379989482</c:v>
                </c:pt>
                <c:pt idx="723">
                  <c:v>780.60585379989482</c:v>
                </c:pt>
                <c:pt idx="724">
                  <c:v>780.60585379989482</c:v>
                </c:pt>
                <c:pt idx="725">
                  <c:v>780.60585379989482</c:v>
                </c:pt>
                <c:pt idx="726">
                  <c:v>780.60585379989482</c:v>
                </c:pt>
                <c:pt idx="727">
                  <c:v>780.60585379989482</c:v>
                </c:pt>
                <c:pt idx="728">
                  <c:v>780.60585379989482</c:v>
                </c:pt>
                <c:pt idx="729">
                  <c:v>780.60585379989482</c:v>
                </c:pt>
                <c:pt idx="730">
                  <c:v>780.60585379989482</c:v>
                </c:pt>
                <c:pt idx="731">
                  <c:v>780.60585379989482</c:v>
                </c:pt>
                <c:pt idx="732">
                  <c:v>780.60585379989482</c:v>
                </c:pt>
                <c:pt idx="733">
                  <c:v>780.60585379989482</c:v>
                </c:pt>
                <c:pt idx="734">
                  <c:v>780.60585379989482</c:v>
                </c:pt>
                <c:pt idx="735">
                  <c:v>780.60585379989482</c:v>
                </c:pt>
                <c:pt idx="736">
                  <c:v>780.60585379989482</c:v>
                </c:pt>
                <c:pt idx="737">
                  <c:v>780.60585379989482</c:v>
                </c:pt>
                <c:pt idx="738">
                  <c:v>780.60585379989482</c:v>
                </c:pt>
                <c:pt idx="739">
                  <c:v>780.60585379989482</c:v>
                </c:pt>
                <c:pt idx="740">
                  <c:v>780.60585379989482</c:v>
                </c:pt>
                <c:pt idx="741">
                  <c:v>780.60585379989482</c:v>
                </c:pt>
                <c:pt idx="742">
                  <c:v>780.60585379989482</c:v>
                </c:pt>
                <c:pt idx="743">
                  <c:v>780.60585379989482</c:v>
                </c:pt>
                <c:pt idx="744">
                  <c:v>780.60585379989482</c:v>
                </c:pt>
                <c:pt idx="745">
                  <c:v>780.60585379989482</c:v>
                </c:pt>
                <c:pt idx="746">
                  <c:v>780.60585379989482</c:v>
                </c:pt>
                <c:pt idx="747">
                  <c:v>780.60585379989482</c:v>
                </c:pt>
                <c:pt idx="748">
                  <c:v>780.60585379989482</c:v>
                </c:pt>
                <c:pt idx="749">
                  <c:v>780.60585379989482</c:v>
                </c:pt>
                <c:pt idx="750">
                  <c:v>780.60585379989482</c:v>
                </c:pt>
                <c:pt idx="751">
                  <c:v>780.60585379989482</c:v>
                </c:pt>
                <c:pt idx="752">
                  <c:v>780.60585379989482</c:v>
                </c:pt>
                <c:pt idx="753">
                  <c:v>780.60585379989482</c:v>
                </c:pt>
                <c:pt idx="754">
                  <c:v>780.60585379989482</c:v>
                </c:pt>
                <c:pt idx="755">
                  <c:v>780.60585379989482</c:v>
                </c:pt>
                <c:pt idx="756">
                  <c:v>780.60585379989482</c:v>
                </c:pt>
                <c:pt idx="757">
                  <c:v>780.60585379989482</c:v>
                </c:pt>
                <c:pt idx="758">
                  <c:v>780.60585379989482</c:v>
                </c:pt>
                <c:pt idx="759">
                  <c:v>780.60585379989482</c:v>
                </c:pt>
                <c:pt idx="760">
                  <c:v>780.60585379989482</c:v>
                </c:pt>
                <c:pt idx="761">
                  <c:v>780.60585379989482</c:v>
                </c:pt>
                <c:pt idx="762">
                  <c:v>780.60585379989482</c:v>
                </c:pt>
                <c:pt idx="763">
                  <c:v>780.60585379989482</c:v>
                </c:pt>
                <c:pt idx="764">
                  <c:v>780.60585379989482</c:v>
                </c:pt>
                <c:pt idx="765">
                  <c:v>780.60585379989482</c:v>
                </c:pt>
                <c:pt idx="766">
                  <c:v>780.60585379989482</c:v>
                </c:pt>
                <c:pt idx="767">
                  <c:v>780.60585379989482</c:v>
                </c:pt>
                <c:pt idx="768">
                  <c:v>780.60585379989482</c:v>
                </c:pt>
                <c:pt idx="769">
                  <c:v>780.60585379989482</c:v>
                </c:pt>
                <c:pt idx="770">
                  <c:v>780.60585379989482</c:v>
                </c:pt>
                <c:pt idx="771">
                  <c:v>780.60585379989482</c:v>
                </c:pt>
                <c:pt idx="772">
                  <c:v>780.60585379989482</c:v>
                </c:pt>
                <c:pt idx="773">
                  <c:v>780.60585379989482</c:v>
                </c:pt>
                <c:pt idx="774">
                  <c:v>780.60585379989482</c:v>
                </c:pt>
                <c:pt idx="775">
                  <c:v>780.60585379989482</c:v>
                </c:pt>
                <c:pt idx="776">
                  <c:v>780.60585379989482</c:v>
                </c:pt>
                <c:pt idx="777">
                  <c:v>780.60585379989482</c:v>
                </c:pt>
                <c:pt idx="778">
                  <c:v>780.60585379989482</c:v>
                </c:pt>
                <c:pt idx="779">
                  <c:v>780.60585379989482</c:v>
                </c:pt>
                <c:pt idx="780">
                  <c:v>780.60585379989482</c:v>
                </c:pt>
                <c:pt idx="781">
                  <c:v>780.60585379989482</c:v>
                </c:pt>
                <c:pt idx="782">
                  <c:v>780.60585379989482</c:v>
                </c:pt>
                <c:pt idx="783">
                  <c:v>780.60585379989482</c:v>
                </c:pt>
                <c:pt idx="784">
                  <c:v>780.60585379989482</c:v>
                </c:pt>
                <c:pt idx="785">
                  <c:v>780.60585379989482</c:v>
                </c:pt>
                <c:pt idx="786">
                  <c:v>780.60585379989482</c:v>
                </c:pt>
                <c:pt idx="787">
                  <c:v>780.60585379989482</c:v>
                </c:pt>
                <c:pt idx="788">
                  <c:v>780.60585379989482</c:v>
                </c:pt>
                <c:pt idx="789">
                  <c:v>780.60585379989482</c:v>
                </c:pt>
                <c:pt idx="790">
                  <c:v>780.60585379989482</c:v>
                </c:pt>
                <c:pt idx="791">
                  <c:v>780.60585379989482</c:v>
                </c:pt>
                <c:pt idx="792">
                  <c:v>780.60585379989482</c:v>
                </c:pt>
                <c:pt idx="793">
                  <c:v>780.60585379989482</c:v>
                </c:pt>
                <c:pt idx="794">
                  <c:v>780.60585379989482</c:v>
                </c:pt>
                <c:pt idx="795">
                  <c:v>780.60585379989482</c:v>
                </c:pt>
                <c:pt idx="796">
                  <c:v>780.60585379989482</c:v>
                </c:pt>
                <c:pt idx="797">
                  <c:v>780.60585379989482</c:v>
                </c:pt>
                <c:pt idx="798">
                  <c:v>780.60585379989482</c:v>
                </c:pt>
                <c:pt idx="799">
                  <c:v>780.60585379989482</c:v>
                </c:pt>
                <c:pt idx="800">
                  <c:v>780.60585379989482</c:v>
                </c:pt>
                <c:pt idx="801">
                  <c:v>780.60585379989482</c:v>
                </c:pt>
                <c:pt idx="802">
                  <c:v>780.60585379989482</c:v>
                </c:pt>
                <c:pt idx="803">
                  <c:v>780.60585379989482</c:v>
                </c:pt>
                <c:pt idx="804">
                  <c:v>780.60585379989482</c:v>
                </c:pt>
                <c:pt idx="805">
                  <c:v>780.60585379989482</c:v>
                </c:pt>
                <c:pt idx="806">
                  <c:v>780.60585379989482</c:v>
                </c:pt>
                <c:pt idx="807">
                  <c:v>780.60585379989482</c:v>
                </c:pt>
                <c:pt idx="808">
                  <c:v>780.60585379989482</c:v>
                </c:pt>
                <c:pt idx="809">
                  <c:v>780.60585379989482</c:v>
                </c:pt>
                <c:pt idx="810">
                  <c:v>780.60585379989482</c:v>
                </c:pt>
                <c:pt idx="811">
                  <c:v>780.60585379989482</c:v>
                </c:pt>
                <c:pt idx="812">
                  <c:v>780.60585379989482</c:v>
                </c:pt>
                <c:pt idx="813">
                  <c:v>780.60585379989482</c:v>
                </c:pt>
                <c:pt idx="814">
                  <c:v>780.60585379989482</c:v>
                </c:pt>
                <c:pt idx="815">
                  <c:v>780.60585379989482</c:v>
                </c:pt>
                <c:pt idx="816">
                  <c:v>780.60585379989482</c:v>
                </c:pt>
                <c:pt idx="817">
                  <c:v>780.60585379989482</c:v>
                </c:pt>
                <c:pt idx="818">
                  <c:v>780.60585379989482</c:v>
                </c:pt>
                <c:pt idx="819">
                  <c:v>780.60585379989482</c:v>
                </c:pt>
                <c:pt idx="820">
                  <c:v>780.60585379989482</c:v>
                </c:pt>
                <c:pt idx="821">
                  <c:v>780.60585379989482</c:v>
                </c:pt>
                <c:pt idx="822">
                  <c:v>780.60585379989482</c:v>
                </c:pt>
                <c:pt idx="823">
                  <c:v>780.60585379989482</c:v>
                </c:pt>
                <c:pt idx="824">
                  <c:v>780.60585379989482</c:v>
                </c:pt>
                <c:pt idx="825">
                  <c:v>780.60585379989482</c:v>
                </c:pt>
                <c:pt idx="826">
                  <c:v>780.60585379989482</c:v>
                </c:pt>
                <c:pt idx="827">
                  <c:v>780.60585379989482</c:v>
                </c:pt>
                <c:pt idx="828">
                  <c:v>780.60585379989482</c:v>
                </c:pt>
                <c:pt idx="829">
                  <c:v>780.60585379989482</c:v>
                </c:pt>
                <c:pt idx="830">
                  <c:v>780.60585379989482</c:v>
                </c:pt>
                <c:pt idx="831">
                  <c:v>780.60585379989482</c:v>
                </c:pt>
                <c:pt idx="832">
                  <c:v>780.60585379989482</c:v>
                </c:pt>
                <c:pt idx="833">
                  <c:v>780.60585379989482</c:v>
                </c:pt>
                <c:pt idx="834">
                  <c:v>780.60585379989482</c:v>
                </c:pt>
                <c:pt idx="835">
                  <c:v>780.60585379989482</c:v>
                </c:pt>
                <c:pt idx="836">
                  <c:v>780.60585379989482</c:v>
                </c:pt>
                <c:pt idx="837">
                  <c:v>780.60585379989482</c:v>
                </c:pt>
                <c:pt idx="838">
                  <c:v>780.60585379989482</c:v>
                </c:pt>
                <c:pt idx="839">
                  <c:v>780.60585379989482</c:v>
                </c:pt>
                <c:pt idx="840">
                  <c:v>780.60585379989482</c:v>
                </c:pt>
                <c:pt idx="841">
                  <c:v>780.60585379989482</c:v>
                </c:pt>
                <c:pt idx="842">
                  <c:v>780.60585379989482</c:v>
                </c:pt>
                <c:pt idx="843">
                  <c:v>780.60585379989482</c:v>
                </c:pt>
                <c:pt idx="844">
                  <c:v>780.60585379989482</c:v>
                </c:pt>
                <c:pt idx="845">
                  <c:v>780.60585379989482</c:v>
                </c:pt>
                <c:pt idx="846">
                  <c:v>780.60585379989482</c:v>
                </c:pt>
                <c:pt idx="847">
                  <c:v>780.60585379989482</c:v>
                </c:pt>
                <c:pt idx="848">
                  <c:v>780.60585379989482</c:v>
                </c:pt>
                <c:pt idx="849">
                  <c:v>780.60585379989482</c:v>
                </c:pt>
                <c:pt idx="850">
                  <c:v>780.60585379989482</c:v>
                </c:pt>
                <c:pt idx="851">
                  <c:v>780.60585379989482</c:v>
                </c:pt>
                <c:pt idx="852">
                  <c:v>780.60585379989482</c:v>
                </c:pt>
                <c:pt idx="853">
                  <c:v>780.60585379989482</c:v>
                </c:pt>
                <c:pt idx="854">
                  <c:v>780.60585379989482</c:v>
                </c:pt>
                <c:pt idx="855">
                  <c:v>780.60585379989482</c:v>
                </c:pt>
                <c:pt idx="856">
                  <c:v>780.60585379989482</c:v>
                </c:pt>
                <c:pt idx="857">
                  <c:v>780.60585379989482</c:v>
                </c:pt>
                <c:pt idx="858">
                  <c:v>780.60585379989482</c:v>
                </c:pt>
                <c:pt idx="859">
                  <c:v>780.60585379989482</c:v>
                </c:pt>
                <c:pt idx="860">
                  <c:v>780.60585379989482</c:v>
                </c:pt>
                <c:pt idx="861">
                  <c:v>780.60585379989482</c:v>
                </c:pt>
                <c:pt idx="862">
                  <c:v>780.60585379989482</c:v>
                </c:pt>
                <c:pt idx="863">
                  <c:v>780.60585379989482</c:v>
                </c:pt>
                <c:pt idx="864">
                  <c:v>780.60585379989482</c:v>
                </c:pt>
                <c:pt idx="865">
                  <c:v>780.60585379989482</c:v>
                </c:pt>
                <c:pt idx="866">
                  <c:v>780.60585379989482</c:v>
                </c:pt>
                <c:pt idx="867">
                  <c:v>780.60585379989482</c:v>
                </c:pt>
                <c:pt idx="868">
                  <c:v>780.60585379989482</c:v>
                </c:pt>
                <c:pt idx="869">
                  <c:v>780.60585379989482</c:v>
                </c:pt>
                <c:pt idx="870">
                  <c:v>780.60585379989482</c:v>
                </c:pt>
                <c:pt idx="871">
                  <c:v>780.60585379989482</c:v>
                </c:pt>
                <c:pt idx="872">
                  <c:v>780.60585379989482</c:v>
                </c:pt>
                <c:pt idx="873">
                  <c:v>780.60585379989482</c:v>
                </c:pt>
                <c:pt idx="874">
                  <c:v>780.60585379989482</c:v>
                </c:pt>
                <c:pt idx="875">
                  <c:v>780.60585379989482</c:v>
                </c:pt>
                <c:pt idx="876">
                  <c:v>780.60585379989482</c:v>
                </c:pt>
                <c:pt idx="877">
                  <c:v>780.60585379989482</c:v>
                </c:pt>
                <c:pt idx="878">
                  <c:v>780.60585379989482</c:v>
                </c:pt>
                <c:pt idx="879">
                  <c:v>780.60585379989482</c:v>
                </c:pt>
                <c:pt idx="880">
                  <c:v>780.60585379989482</c:v>
                </c:pt>
                <c:pt idx="881">
                  <c:v>780.60585379989482</c:v>
                </c:pt>
                <c:pt idx="882">
                  <c:v>780.60585379989482</c:v>
                </c:pt>
                <c:pt idx="883">
                  <c:v>780.60585379989482</c:v>
                </c:pt>
                <c:pt idx="884">
                  <c:v>780.60585379989482</c:v>
                </c:pt>
                <c:pt idx="885">
                  <c:v>780.60585379989482</c:v>
                </c:pt>
                <c:pt idx="886">
                  <c:v>780.60585379989482</c:v>
                </c:pt>
                <c:pt idx="887">
                  <c:v>780.60585379989482</c:v>
                </c:pt>
                <c:pt idx="888">
                  <c:v>780.60585379989482</c:v>
                </c:pt>
                <c:pt idx="889">
                  <c:v>780.60585379989482</c:v>
                </c:pt>
                <c:pt idx="890">
                  <c:v>780.60585379989482</c:v>
                </c:pt>
                <c:pt idx="891">
                  <c:v>780.60585379989482</c:v>
                </c:pt>
                <c:pt idx="892">
                  <c:v>780.60585379989482</c:v>
                </c:pt>
                <c:pt idx="893">
                  <c:v>780.60585379989482</c:v>
                </c:pt>
                <c:pt idx="894">
                  <c:v>780.60585379989482</c:v>
                </c:pt>
                <c:pt idx="895">
                  <c:v>780.60585379989482</c:v>
                </c:pt>
                <c:pt idx="896">
                  <c:v>780.60585379989482</c:v>
                </c:pt>
                <c:pt idx="897">
                  <c:v>780.60585379989482</c:v>
                </c:pt>
                <c:pt idx="898">
                  <c:v>780.60585379989482</c:v>
                </c:pt>
                <c:pt idx="899">
                  <c:v>780.60585379989482</c:v>
                </c:pt>
                <c:pt idx="900">
                  <c:v>780.60585379989482</c:v>
                </c:pt>
                <c:pt idx="901">
                  <c:v>780.60585379989482</c:v>
                </c:pt>
                <c:pt idx="902">
                  <c:v>780.60585379989482</c:v>
                </c:pt>
                <c:pt idx="903">
                  <c:v>780.60585379989482</c:v>
                </c:pt>
                <c:pt idx="904">
                  <c:v>780.60585379989482</c:v>
                </c:pt>
                <c:pt idx="905">
                  <c:v>780.60585379989482</c:v>
                </c:pt>
                <c:pt idx="906">
                  <c:v>780.60585379989482</c:v>
                </c:pt>
                <c:pt idx="907">
                  <c:v>780.60585379989482</c:v>
                </c:pt>
                <c:pt idx="908">
                  <c:v>780.60585379989482</c:v>
                </c:pt>
                <c:pt idx="909">
                  <c:v>780.60585379989482</c:v>
                </c:pt>
                <c:pt idx="910">
                  <c:v>780.60585379989482</c:v>
                </c:pt>
                <c:pt idx="911">
                  <c:v>780.60585379989482</c:v>
                </c:pt>
                <c:pt idx="912">
                  <c:v>780.60585379989482</c:v>
                </c:pt>
                <c:pt idx="913">
                  <c:v>780.60585379989482</c:v>
                </c:pt>
                <c:pt idx="914">
                  <c:v>780.60585379989482</c:v>
                </c:pt>
                <c:pt idx="915">
                  <c:v>780.60585379989482</c:v>
                </c:pt>
                <c:pt idx="916">
                  <c:v>780.60585379989482</c:v>
                </c:pt>
                <c:pt idx="917">
                  <c:v>780.60585379989482</c:v>
                </c:pt>
                <c:pt idx="918">
                  <c:v>780.60585379989482</c:v>
                </c:pt>
                <c:pt idx="919">
                  <c:v>780.60585379989482</c:v>
                </c:pt>
                <c:pt idx="920">
                  <c:v>780.60585379989482</c:v>
                </c:pt>
                <c:pt idx="921">
                  <c:v>780.60585379989482</c:v>
                </c:pt>
                <c:pt idx="922">
                  <c:v>780.60585379989482</c:v>
                </c:pt>
                <c:pt idx="923">
                  <c:v>780.60585379989482</c:v>
                </c:pt>
                <c:pt idx="924">
                  <c:v>780.60585379989482</c:v>
                </c:pt>
                <c:pt idx="925">
                  <c:v>780.60585379989482</c:v>
                </c:pt>
                <c:pt idx="926">
                  <c:v>780.60585379989482</c:v>
                </c:pt>
                <c:pt idx="927">
                  <c:v>780.60585379989482</c:v>
                </c:pt>
                <c:pt idx="928">
                  <c:v>780.60585379989482</c:v>
                </c:pt>
                <c:pt idx="929">
                  <c:v>780.60585379989482</c:v>
                </c:pt>
                <c:pt idx="930">
                  <c:v>780.60585379989482</c:v>
                </c:pt>
                <c:pt idx="931">
                  <c:v>780.60585379989482</c:v>
                </c:pt>
                <c:pt idx="932">
                  <c:v>780.60585379989482</c:v>
                </c:pt>
                <c:pt idx="933">
                  <c:v>780.60585379989482</c:v>
                </c:pt>
                <c:pt idx="934">
                  <c:v>780.60585379989482</c:v>
                </c:pt>
                <c:pt idx="935">
                  <c:v>780.60585379989482</c:v>
                </c:pt>
                <c:pt idx="936">
                  <c:v>780.60585379989482</c:v>
                </c:pt>
                <c:pt idx="937">
                  <c:v>780.60585379989482</c:v>
                </c:pt>
                <c:pt idx="938">
                  <c:v>780.60585379989482</c:v>
                </c:pt>
                <c:pt idx="939">
                  <c:v>780.60585379989482</c:v>
                </c:pt>
                <c:pt idx="940">
                  <c:v>780.60585379989482</c:v>
                </c:pt>
                <c:pt idx="941">
                  <c:v>780.60585379989482</c:v>
                </c:pt>
                <c:pt idx="942">
                  <c:v>780.60585379989482</c:v>
                </c:pt>
                <c:pt idx="943">
                  <c:v>780.60585379989482</c:v>
                </c:pt>
                <c:pt idx="944">
                  <c:v>780.60585379989482</c:v>
                </c:pt>
                <c:pt idx="945">
                  <c:v>780.60585379989482</c:v>
                </c:pt>
                <c:pt idx="946">
                  <c:v>780.60585379989482</c:v>
                </c:pt>
                <c:pt idx="947">
                  <c:v>780.60585379989482</c:v>
                </c:pt>
                <c:pt idx="948">
                  <c:v>780.60585379989482</c:v>
                </c:pt>
                <c:pt idx="949">
                  <c:v>780.60585379989482</c:v>
                </c:pt>
                <c:pt idx="950">
                  <c:v>780.60585379989482</c:v>
                </c:pt>
                <c:pt idx="951">
                  <c:v>780.60585379989482</c:v>
                </c:pt>
                <c:pt idx="952">
                  <c:v>780.60585379989482</c:v>
                </c:pt>
                <c:pt idx="953">
                  <c:v>780.60585379989482</c:v>
                </c:pt>
                <c:pt idx="954">
                  <c:v>780.60585379989482</c:v>
                </c:pt>
                <c:pt idx="955">
                  <c:v>780.60585379989482</c:v>
                </c:pt>
                <c:pt idx="956">
                  <c:v>780.60585379989482</c:v>
                </c:pt>
                <c:pt idx="957">
                  <c:v>780.60585379989482</c:v>
                </c:pt>
                <c:pt idx="958">
                  <c:v>780.60585379989482</c:v>
                </c:pt>
                <c:pt idx="959">
                  <c:v>780.60585379989482</c:v>
                </c:pt>
                <c:pt idx="960">
                  <c:v>780.60585379989482</c:v>
                </c:pt>
                <c:pt idx="961">
                  <c:v>780.60585379989482</c:v>
                </c:pt>
                <c:pt idx="962">
                  <c:v>780.60585379989482</c:v>
                </c:pt>
                <c:pt idx="963">
                  <c:v>780.60585379989482</c:v>
                </c:pt>
                <c:pt idx="964">
                  <c:v>780.60585379989482</c:v>
                </c:pt>
                <c:pt idx="965">
                  <c:v>780.60585379989482</c:v>
                </c:pt>
                <c:pt idx="966">
                  <c:v>780.60585379989482</c:v>
                </c:pt>
                <c:pt idx="967">
                  <c:v>780.60585379989482</c:v>
                </c:pt>
                <c:pt idx="968">
                  <c:v>780.60585379989482</c:v>
                </c:pt>
                <c:pt idx="969">
                  <c:v>780.60585379989482</c:v>
                </c:pt>
                <c:pt idx="970">
                  <c:v>780.60585379989482</c:v>
                </c:pt>
                <c:pt idx="971">
                  <c:v>780.60585379989482</c:v>
                </c:pt>
                <c:pt idx="972">
                  <c:v>780.60585379989482</c:v>
                </c:pt>
                <c:pt idx="973">
                  <c:v>780.60585379989482</c:v>
                </c:pt>
                <c:pt idx="974">
                  <c:v>780.60585379989482</c:v>
                </c:pt>
                <c:pt idx="975">
                  <c:v>780.60585379989482</c:v>
                </c:pt>
                <c:pt idx="976">
                  <c:v>780.60585379989482</c:v>
                </c:pt>
                <c:pt idx="977">
                  <c:v>780.60585379989482</c:v>
                </c:pt>
                <c:pt idx="978">
                  <c:v>780.60585379989482</c:v>
                </c:pt>
                <c:pt idx="979">
                  <c:v>780.60585379989482</c:v>
                </c:pt>
                <c:pt idx="980">
                  <c:v>780.60585379989482</c:v>
                </c:pt>
                <c:pt idx="981">
                  <c:v>780.60585379989482</c:v>
                </c:pt>
                <c:pt idx="982">
                  <c:v>780.60585379989482</c:v>
                </c:pt>
                <c:pt idx="983">
                  <c:v>780.60585379989482</c:v>
                </c:pt>
                <c:pt idx="984">
                  <c:v>780.60585379989482</c:v>
                </c:pt>
                <c:pt idx="985">
                  <c:v>780.60585379989482</c:v>
                </c:pt>
                <c:pt idx="986">
                  <c:v>780.60585379989482</c:v>
                </c:pt>
                <c:pt idx="987">
                  <c:v>780.60585379989482</c:v>
                </c:pt>
                <c:pt idx="988">
                  <c:v>780.60585379989482</c:v>
                </c:pt>
                <c:pt idx="989">
                  <c:v>780.60585379989482</c:v>
                </c:pt>
                <c:pt idx="990">
                  <c:v>780.60585379989482</c:v>
                </c:pt>
                <c:pt idx="991">
                  <c:v>780.60585379989482</c:v>
                </c:pt>
                <c:pt idx="992">
                  <c:v>780.60585379989482</c:v>
                </c:pt>
                <c:pt idx="993">
                  <c:v>780.60585379989482</c:v>
                </c:pt>
                <c:pt idx="994">
                  <c:v>780.60585379989482</c:v>
                </c:pt>
                <c:pt idx="995">
                  <c:v>780.60585379989482</c:v>
                </c:pt>
                <c:pt idx="996">
                  <c:v>780.60585379989482</c:v>
                </c:pt>
                <c:pt idx="997">
                  <c:v>780.60585379989482</c:v>
                </c:pt>
                <c:pt idx="998">
                  <c:v>780.60585379989482</c:v>
                </c:pt>
                <c:pt idx="999">
                  <c:v>780.60585379989482</c:v>
                </c:pt>
                <c:pt idx="1000">
                  <c:v>780.60585379989482</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33.900100000000215</c:v>
                </c:pt>
                <c:pt idx="521">
                  <c:v>33.900200000000218</c:v>
                </c:pt>
                <c:pt idx="522">
                  <c:v>33.900300000000222</c:v>
                </c:pt>
                <c:pt idx="523">
                  <c:v>33.900400000000225</c:v>
                </c:pt>
                <c:pt idx="524">
                  <c:v>33.900500000000228</c:v>
                </c:pt>
                <c:pt idx="525">
                  <c:v>33.900600000000232</c:v>
                </c:pt>
                <c:pt idx="526">
                  <c:v>33.900700000000235</c:v>
                </c:pt>
                <c:pt idx="527">
                  <c:v>33.900800000000238</c:v>
                </c:pt>
                <c:pt idx="528">
                  <c:v>33.900900000000242</c:v>
                </c:pt>
                <c:pt idx="529">
                  <c:v>33.901000000000245</c:v>
                </c:pt>
                <c:pt idx="530">
                  <c:v>33.901100000000248</c:v>
                </c:pt>
                <c:pt idx="531">
                  <c:v>33.901200000000252</c:v>
                </c:pt>
                <c:pt idx="532">
                  <c:v>33.901300000000255</c:v>
                </c:pt>
                <c:pt idx="533">
                  <c:v>33.901400000000258</c:v>
                </c:pt>
                <c:pt idx="534">
                  <c:v>33.901500000000262</c:v>
                </c:pt>
                <c:pt idx="535">
                  <c:v>33.901600000000265</c:v>
                </c:pt>
                <c:pt idx="536">
                  <c:v>33.901700000000268</c:v>
                </c:pt>
                <c:pt idx="537">
                  <c:v>33.901800000000271</c:v>
                </c:pt>
                <c:pt idx="538">
                  <c:v>33.901900000000275</c:v>
                </c:pt>
                <c:pt idx="539">
                  <c:v>33.902000000000278</c:v>
                </c:pt>
                <c:pt idx="540">
                  <c:v>33.902100000000281</c:v>
                </c:pt>
                <c:pt idx="541">
                  <c:v>33.902200000000285</c:v>
                </c:pt>
                <c:pt idx="542">
                  <c:v>33.902300000000288</c:v>
                </c:pt>
                <c:pt idx="543">
                  <c:v>33.902400000000291</c:v>
                </c:pt>
                <c:pt idx="544">
                  <c:v>33.902500000000295</c:v>
                </c:pt>
                <c:pt idx="545">
                  <c:v>33.902600000000298</c:v>
                </c:pt>
                <c:pt idx="546">
                  <c:v>33.902700000000301</c:v>
                </c:pt>
                <c:pt idx="547">
                  <c:v>33.902800000000305</c:v>
                </c:pt>
                <c:pt idx="548">
                  <c:v>33.902900000000308</c:v>
                </c:pt>
                <c:pt idx="549">
                  <c:v>33.903000000000311</c:v>
                </c:pt>
                <c:pt idx="550">
                  <c:v>33.903100000000315</c:v>
                </c:pt>
                <c:pt idx="551">
                  <c:v>33.903200000000318</c:v>
                </c:pt>
                <c:pt idx="552">
                  <c:v>33.903300000000321</c:v>
                </c:pt>
                <c:pt idx="553">
                  <c:v>33.903400000000325</c:v>
                </c:pt>
                <c:pt idx="554">
                  <c:v>33.903500000000328</c:v>
                </c:pt>
                <c:pt idx="555">
                  <c:v>33.903600000000331</c:v>
                </c:pt>
                <c:pt idx="556">
                  <c:v>33.903700000000335</c:v>
                </c:pt>
                <c:pt idx="557">
                  <c:v>33.903800000000338</c:v>
                </c:pt>
                <c:pt idx="558">
                  <c:v>33.903900000000341</c:v>
                </c:pt>
                <c:pt idx="559">
                  <c:v>33.904000000000345</c:v>
                </c:pt>
                <c:pt idx="560">
                  <c:v>33.904100000000348</c:v>
                </c:pt>
                <c:pt idx="561">
                  <c:v>33.904200000000351</c:v>
                </c:pt>
                <c:pt idx="562">
                  <c:v>33.904300000000354</c:v>
                </c:pt>
                <c:pt idx="563">
                  <c:v>33.904400000000358</c:v>
                </c:pt>
                <c:pt idx="564">
                  <c:v>33.904500000000361</c:v>
                </c:pt>
                <c:pt idx="565">
                  <c:v>33.904600000000364</c:v>
                </c:pt>
                <c:pt idx="566">
                  <c:v>33.904700000000368</c:v>
                </c:pt>
                <c:pt idx="567">
                  <c:v>33.904800000000371</c:v>
                </c:pt>
                <c:pt idx="568">
                  <c:v>33.904900000000374</c:v>
                </c:pt>
                <c:pt idx="569">
                  <c:v>33.905000000000378</c:v>
                </c:pt>
                <c:pt idx="570">
                  <c:v>33.905100000000381</c:v>
                </c:pt>
                <c:pt idx="571">
                  <c:v>33.905200000000384</c:v>
                </c:pt>
                <c:pt idx="572">
                  <c:v>33.905300000000388</c:v>
                </c:pt>
                <c:pt idx="573">
                  <c:v>33.905400000000391</c:v>
                </c:pt>
                <c:pt idx="574">
                  <c:v>33.905500000000394</c:v>
                </c:pt>
                <c:pt idx="575">
                  <c:v>33.905600000000398</c:v>
                </c:pt>
                <c:pt idx="576">
                  <c:v>33.905700000000401</c:v>
                </c:pt>
                <c:pt idx="577">
                  <c:v>33.905800000000404</c:v>
                </c:pt>
                <c:pt idx="578">
                  <c:v>33.905900000000408</c:v>
                </c:pt>
                <c:pt idx="579">
                  <c:v>33.906000000000411</c:v>
                </c:pt>
                <c:pt idx="580">
                  <c:v>33.906100000000414</c:v>
                </c:pt>
                <c:pt idx="581">
                  <c:v>33.906200000000418</c:v>
                </c:pt>
                <c:pt idx="582">
                  <c:v>33.906300000000421</c:v>
                </c:pt>
                <c:pt idx="583">
                  <c:v>33.906400000000424</c:v>
                </c:pt>
                <c:pt idx="584">
                  <c:v>33.906500000000428</c:v>
                </c:pt>
                <c:pt idx="585">
                  <c:v>33.906600000000431</c:v>
                </c:pt>
                <c:pt idx="586">
                  <c:v>33.906700000000434</c:v>
                </c:pt>
                <c:pt idx="587">
                  <c:v>33.906800000000437</c:v>
                </c:pt>
                <c:pt idx="588">
                  <c:v>33.906900000000441</c:v>
                </c:pt>
                <c:pt idx="589">
                  <c:v>33.907000000000444</c:v>
                </c:pt>
                <c:pt idx="590">
                  <c:v>33.907100000000447</c:v>
                </c:pt>
                <c:pt idx="591">
                  <c:v>33.907200000000451</c:v>
                </c:pt>
                <c:pt idx="592">
                  <c:v>33.907300000000454</c:v>
                </c:pt>
                <c:pt idx="593">
                  <c:v>33.907400000000457</c:v>
                </c:pt>
                <c:pt idx="594">
                  <c:v>33.907500000000461</c:v>
                </c:pt>
                <c:pt idx="595">
                  <c:v>33.907600000000464</c:v>
                </c:pt>
                <c:pt idx="596">
                  <c:v>33.907700000000467</c:v>
                </c:pt>
                <c:pt idx="597">
                  <c:v>33.907800000000471</c:v>
                </c:pt>
                <c:pt idx="598">
                  <c:v>33.907900000000474</c:v>
                </c:pt>
                <c:pt idx="599">
                  <c:v>33.908000000000477</c:v>
                </c:pt>
                <c:pt idx="600">
                  <c:v>33.908100000000481</c:v>
                </c:pt>
                <c:pt idx="601">
                  <c:v>33.908200000000484</c:v>
                </c:pt>
                <c:pt idx="602">
                  <c:v>33.908300000000487</c:v>
                </c:pt>
                <c:pt idx="603">
                  <c:v>33.908400000000491</c:v>
                </c:pt>
                <c:pt idx="604">
                  <c:v>33.908500000000494</c:v>
                </c:pt>
                <c:pt idx="605">
                  <c:v>33.908600000000497</c:v>
                </c:pt>
                <c:pt idx="606">
                  <c:v>33.908700000000501</c:v>
                </c:pt>
                <c:pt idx="607">
                  <c:v>33.908800000000504</c:v>
                </c:pt>
                <c:pt idx="608">
                  <c:v>33.908900000000507</c:v>
                </c:pt>
                <c:pt idx="609">
                  <c:v>33.909000000000511</c:v>
                </c:pt>
                <c:pt idx="610">
                  <c:v>33.909100000000514</c:v>
                </c:pt>
                <c:pt idx="611">
                  <c:v>33.909200000000517</c:v>
                </c:pt>
                <c:pt idx="612">
                  <c:v>33.90930000000052</c:v>
                </c:pt>
                <c:pt idx="613">
                  <c:v>33.909400000000524</c:v>
                </c:pt>
                <c:pt idx="614">
                  <c:v>33.909500000000527</c:v>
                </c:pt>
                <c:pt idx="615">
                  <c:v>33.90960000000053</c:v>
                </c:pt>
                <c:pt idx="616">
                  <c:v>33.909700000000534</c:v>
                </c:pt>
                <c:pt idx="617">
                  <c:v>33.909800000000537</c:v>
                </c:pt>
                <c:pt idx="618">
                  <c:v>33.90990000000054</c:v>
                </c:pt>
                <c:pt idx="619">
                  <c:v>33.910000000000544</c:v>
                </c:pt>
                <c:pt idx="620">
                  <c:v>33.910100000000547</c:v>
                </c:pt>
                <c:pt idx="621">
                  <c:v>33.91020000000055</c:v>
                </c:pt>
                <c:pt idx="622">
                  <c:v>33.910300000000554</c:v>
                </c:pt>
                <c:pt idx="623">
                  <c:v>33.910400000000557</c:v>
                </c:pt>
                <c:pt idx="624">
                  <c:v>33.91050000000056</c:v>
                </c:pt>
                <c:pt idx="625">
                  <c:v>33.910600000000564</c:v>
                </c:pt>
                <c:pt idx="626">
                  <c:v>33.910700000000567</c:v>
                </c:pt>
                <c:pt idx="627">
                  <c:v>33.91080000000057</c:v>
                </c:pt>
                <c:pt idx="628">
                  <c:v>33.910900000000574</c:v>
                </c:pt>
                <c:pt idx="629">
                  <c:v>33.911000000000577</c:v>
                </c:pt>
                <c:pt idx="630">
                  <c:v>33.91110000000058</c:v>
                </c:pt>
                <c:pt idx="631">
                  <c:v>33.911200000000584</c:v>
                </c:pt>
                <c:pt idx="632">
                  <c:v>33.911300000000587</c:v>
                </c:pt>
                <c:pt idx="633">
                  <c:v>33.91140000000059</c:v>
                </c:pt>
                <c:pt idx="634">
                  <c:v>33.911500000000594</c:v>
                </c:pt>
                <c:pt idx="635">
                  <c:v>33.911600000000597</c:v>
                </c:pt>
                <c:pt idx="636">
                  <c:v>33.9117000000006</c:v>
                </c:pt>
                <c:pt idx="637">
                  <c:v>33.911800000000603</c:v>
                </c:pt>
                <c:pt idx="638">
                  <c:v>33.911900000000607</c:v>
                </c:pt>
                <c:pt idx="639">
                  <c:v>33.91200000000061</c:v>
                </c:pt>
                <c:pt idx="640">
                  <c:v>33.912100000000613</c:v>
                </c:pt>
                <c:pt idx="641">
                  <c:v>33.912200000000617</c:v>
                </c:pt>
                <c:pt idx="642">
                  <c:v>33.91230000000062</c:v>
                </c:pt>
                <c:pt idx="643">
                  <c:v>33.912400000000623</c:v>
                </c:pt>
                <c:pt idx="644">
                  <c:v>33.912500000000627</c:v>
                </c:pt>
                <c:pt idx="645">
                  <c:v>33.91260000000063</c:v>
                </c:pt>
                <c:pt idx="646">
                  <c:v>33.912700000000633</c:v>
                </c:pt>
                <c:pt idx="647">
                  <c:v>33.912800000000637</c:v>
                </c:pt>
                <c:pt idx="648">
                  <c:v>33.91290000000064</c:v>
                </c:pt>
                <c:pt idx="649">
                  <c:v>33.913000000000643</c:v>
                </c:pt>
                <c:pt idx="650">
                  <c:v>33.913100000000647</c:v>
                </c:pt>
                <c:pt idx="651">
                  <c:v>33.91320000000065</c:v>
                </c:pt>
                <c:pt idx="652">
                  <c:v>33.913300000000653</c:v>
                </c:pt>
                <c:pt idx="653">
                  <c:v>33.913400000000657</c:v>
                </c:pt>
                <c:pt idx="654">
                  <c:v>33.91350000000066</c:v>
                </c:pt>
                <c:pt idx="655">
                  <c:v>33.913600000000663</c:v>
                </c:pt>
                <c:pt idx="656">
                  <c:v>33.913700000000667</c:v>
                </c:pt>
                <c:pt idx="657">
                  <c:v>33.91380000000067</c:v>
                </c:pt>
                <c:pt idx="658">
                  <c:v>33.913900000000673</c:v>
                </c:pt>
                <c:pt idx="659">
                  <c:v>33.914000000000676</c:v>
                </c:pt>
                <c:pt idx="660">
                  <c:v>33.91410000000068</c:v>
                </c:pt>
                <c:pt idx="661">
                  <c:v>33.914200000000683</c:v>
                </c:pt>
                <c:pt idx="662">
                  <c:v>33.914300000000686</c:v>
                </c:pt>
                <c:pt idx="663">
                  <c:v>33.91440000000069</c:v>
                </c:pt>
                <c:pt idx="664">
                  <c:v>33.914500000000693</c:v>
                </c:pt>
                <c:pt idx="665">
                  <c:v>33.914600000000696</c:v>
                </c:pt>
                <c:pt idx="666">
                  <c:v>33.9147000000007</c:v>
                </c:pt>
                <c:pt idx="667">
                  <c:v>33.914800000000703</c:v>
                </c:pt>
                <c:pt idx="668">
                  <c:v>33.914900000000706</c:v>
                </c:pt>
                <c:pt idx="669">
                  <c:v>33.91500000000071</c:v>
                </c:pt>
                <c:pt idx="670">
                  <c:v>33.915100000000713</c:v>
                </c:pt>
                <c:pt idx="671">
                  <c:v>33.915200000000716</c:v>
                </c:pt>
                <c:pt idx="672">
                  <c:v>33.91530000000072</c:v>
                </c:pt>
                <c:pt idx="673">
                  <c:v>33.915400000000723</c:v>
                </c:pt>
                <c:pt idx="674">
                  <c:v>33.915500000000726</c:v>
                </c:pt>
                <c:pt idx="675">
                  <c:v>33.91560000000073</c:v>
                </c:pt>
                <c:pt idx="676">
                  <c:v>33.915700000000733</c:v>
                </c:pt>
                <c:pt idx="677">
                  <c:v>33.915800000000736</c:v>
                </c:pt>
                <c:pt idx="678">
                  <c:v>33.91590000000074</c:v>
                </c:pt>
                <c:pt idx="679">
                  <c:v>33.916000000000743</c:v>
                </c:pt>
                <c:pt idx="680">
                  <c:v>33.916100000000746</c:v>
                </c:pt>
                <c:pt idx="681">
                  <c:v>33.91620000000075</c:v>
                </c:pt>
                <c:pt idx="682">
                  <c:v>33.916300000000753</c:v>
                </c:pt>
                <c:pt idx="683">
                  <c:v>33.916400000000756</c:v>
                </c:pt>
                <c:pt idx="684">
                  <c:v>33.916500000000759</c:v>
                </c:pt>
                <c:pt idx="685">
                  <c:v>33.916600000000763</c:v>
                </c:pt>
                <c:pt idx="686">
                  <c:v>33.916700000000766</c:v>
                </c:pt>
                <c:pt idx="687">
                  <c:v>33.916800000000769</c:v>
                </c:pt>
                <c:pt idx="688">
                  <c:v>33.916900000000773</c:v>
                </c:pt>
                <c:pt idx="689">
                  <c:v>33.917000000000776</c:v>
                </c:pt>
                <c:pt idx="690">
                  <c:v>33.917100000000779</c:v>
                </c:pt>
                <c:pt idx="691">
                  <c:v>33.917200000000783</c:v>
                </c:pt>
                <c:pt idx="692">
                  <c:v>33.917300000000786</c:v>
                </c:pt>
                <c:pt idx="693">
                  <c:v>33.917400000000789</c:v>
                </c:pt>
                <c:pt idx="694">
                  <c:v>33.917500000000793</c:v>
                </c:pt>
                <c:pt idx="695">
                  <c:v>33.917600000000796</c:v>
                </c:pt>
                <c:pt idx="696">
                  <c:v>33.917700000000799</c:v>
                </c:pt>
                <c:pt idx="697">
                  <c:v>33.917800000000803</c:v>
                </c:pt>
                <c:pt idx="698">
                  <c:v>33.917900000000806</c:v>
                </c:pt>
                <c:pt idx="699">
                  <c:v>33.918000000000809</c:v>
                </c:pt>
                <c:pt idx="700">
                  <c:v>33.918100000000813</c:v>
                </c:pt>
                <c:pt idx="701">
                  <c:v>33.918200000000816</c:v>
                </c:pt>
                <c:pt idx="702">
                  <c:v>33.918300000000819</c:v>
                </c:pt>
                <c:pt idx="703">
                  <c:v>33.918400000000823</c:v>
                </c:pt>
                <c:pt idx="704">
                  <c:v>33.918500000000826</c:v>
                </c:pt>
                <c:pt idx="705">
                  <c:v>33.918600000000829</c:v>
                </c:pt>
                <c:pt idx="706">
                  <c:v>33.918700000000833</c:v>
                </c:pt>
                <c:pt idx="707">
                  <c:v>33.918800000000836</c:v>
                </c:pt>
                <c:pt idx="708">
                  <c:v>33.918900000000839</c:v>
                </c:pt>
                <c:pt idx="709">
                  <c:v>33.919000000000842</c:v>
                </c:pt>
                <c:pt idx="710">
                  <c:v>33.919100000000846</c:v>
                </c:pt>
                <c:pt idx="711">
                  <c:v>33.919200000000849</c:v>
                </c:pt>
                <c:pt idx="712">
                  <c:v>33.919300000000852</c:v>
                </c:pt>
                <c:pt idx="713">
                  <c:v>33.919400000000856</c:v>
                </c:pt>
                <c:pt idx="714">
                  <c:v>33.919500000000859</c:v>
                </c:pt>
                <c:pt idx="715">
                  <c:v>33.919600000000862</c:v>
                </c:pt>
                <c:pt idx="716">
                  <c:v>33.919700000000866</c:v>
                </c:pt>
                <c:pt idx="717">
                  <c:v>33.919800000000869</c:v>
                </c:pt>
                <c:pt idx="718">
                  <c:v>33.919900000000872</c:v>
                </c:pt>
                <c:pt idx="719">
                  <c:v>33.920000000000876</c:v>
                </c:pt>
                <c:pt idx="720">
                  <c:v>33.920100000000879</c:v>
                </c:pt>
                <c:pt idx="721">
                  <c:v>33.920200000000882</c:v>
                </c:pt>
                <c:pt idx="722">
                  <c:v>33.920300000000886</c:v>
                </c:pt>
                <c:pt idx="723">
                  <c:v>33.920400000000889</c:v>
                </c:pt>
                <c:pt idx="724">
                  <c:v>33.920500000000892</c:v>
                </c:pt>
                <c:pt idx="725">
                  <c:v>33.920600000000896</c:v>
                </c:pt>
                <c:pt idx="726">
                  <c:v>33.920700000000899</c:v>
                </c:pt>
                <c:pt idx="727">
                  <c:v>33.920800000000902</c:v>
                </c:pt>
                <c:pt idx="728">
                  <c:v>33.920900000000906</c:v>
                </c:pt>
                <c:pt idx="729">
                  <c:v>33.921000000000909</c:v>
                </c:pt>
                <c:pt idx="730">
                  <c:v>33.921100000000912</c:v>
                </c:pt>
                <c:pt idx="731">
                  <c:v>33.921200000000916</c:v>
                </c:pt>
                <c:pt idx="732">
                  <c:v>33.921300000000919</c:v>
                </c:pt>
                <c:pt idx="733">
                  <c:v>33.921400000000922</c:v>
                </c:pt>
                <c:pt idx="734">
                  <c:v>33.921500000000925</c:v>
                </c:pt>
                <c:pt idx="735">
                  <c:v>33.921600000000929</c:v>
                </c:pt>
                <c:pt idx="736">
                  <c:v>33.921700000000932</c:v>
                </c:pt>
                <c:pt idx="737">
                  <c:v>33.921800000000935</c:v>
                </c:pt>
                <c:pt idx="738">
                  <c:v>33.921900000000939</c:v>
                </c:pt>
                <c:pt idx="739">
                  <c:v>33.922000000000942</c:v>
                </c:pt>
                <c:pt idx="740">
                  <c:v>33.922100000000945</c:v>
                </c:pt>
                <c:pt idx="741">
                  <c:v>33.922200000000949</c:v>
                </c:pt>
                <c:pt idx="742">
                  <c:v>33.922300000000952</c:v>
                </c:pt>
                <c:pt idx="743">
                  <c:v>33.922400000000955</c:v>
                </c:pt>
                <c:pt idx="744">
                  <c:v>33.922500000000959</c:v>
                </c:pt>
                <c:pt idx="745">
                  <c:v>33.922600000000962</c:v>
                </c:pt>
                <c:pt idx="746">
                  <c:v>33.922700000000965</c:v>
                </c:pt>
                <c:pt idx="747">
                  <c:v>33.922800000000969</c:v>
                </c:pt>
                <c:pt idx="748">
                  <c:v>33.922900000000972</c:v>
                </c:pt>
                <c:pt idx="749">
                  <c:v>33.923000000000975</c:v>
                </c:pt>
                <c:pt idx="750">
                  <c:v>33.923100000000979</c:v>
                </c:pt>
                <c:pt idx="751">
                  <c:v>33.923200000000982</c:v>
                </c:pt>
                <c:pt idx="752">
                  <c:v>33.923300000000985</c:v>
                </c:pt>
                <c:pt idx="753">
                  <c:v>33.923400000000989</c:v>
                </c:pt>
                <c:pt idx="754">
                  <c:v>33.923500000000992</c:v>
                </c:pt>
                <c:pt idx="755">
                  <c:v>33.923600000000995</c:v>
                </c:pt>
                <c:pt idx="756">
                  <c:v>33.923700000000999</c:v>
                </c:pt>
                <c:pt idx="757">
                  <c:v>33.923800000001002</c:v>
                </c:pt>
                <c:pt idx="758">
                  <c:v>33.923900000001005</c:v>
                </c:pt>
                <c:pt idx="759">
                  <c:v>33.924000000001008</c:v>
                </c:pt>
                <c:pt idx="760">
                  <c:v>33.924100000001012</c:v>
                </c:pt>
                <c:pt idx="761">
                  <c:v>33.924200000001015</c:v>
                </c:pt>
                <c:pt idx="762">
                  <c:v>33.924300000001018</c:v>
                </c:pt>
                <c:pt idx="763">
                  <c:v>33.924400000001022</c:v>
                </c:pt>
                <c:pt idx="764">
                  <c:v>33.924500000001025</c:v>
                </c:pt>
                <c:pt idx="765">
                  <c:v>33.924600000001028</c:v>
                </c:pt>
                <c:pt idx="766">
                  <c:v>33.924700000001032</c:v>
                </c:pt>
                <c:pt idx="767">
                  <c:v>33.924800000001035</c:v>
                </c:pt>
                <c:pt idx="768">
                  <c:v>33.924900000001038</c:v>
                </c:pt>
                <c:pt idx="769">
                  <c:v>33.925000000001042</c:v>
                </c:pt>
                <c:pt idx="770">
                  <c:v>33.925100000001045</c:v>
                </c:pt>
                <c:pt idx="771">
                  <c:v>33.925200000001048</c:v>
                </c:pt>
                <c:pt idx="772">
                  <c:v>33.925300000001052</c:v>
                </c:pt>
                <c:pt idx="773">
                  <c:v>33.925400000001055</c:v>
                </c:pt>
                <c:pt idx="774">
                  <c:v>33.925500000001058</c:v>
                </c:pt>
                <c:pt idx="775">
                  <c:v>33.925600000001062</c:v>
                </c:pt>
                <c:pt idx="776">
                  <c:v>33.925700000001065</c:v>
                </c:pt>
                <c:pt idx="777">
                  <c:v>33.925800000001068</c:v>
                </c:pt>
                <c:pt idx="778">
                  <c:v>33.925900000001072</c:v>
                </c:pt>
                <c:pt idx="779">
                  <c:v>33.926000000001075</c:v>
                </c:pt>
                <c:pt idx="780">
                  <c:v>33.926100000001078</c:v>
                </c:pt>
                <c:pt idx="781">
                  <c:v>33.926200000001081</c:v>
                </c:pt>
                <c:pt idx="782">
                  <c:v>33.926300000001085</c:v>
                </c:pt>
                <c:pt idx="783">
                  <c:v>33.926400000001088</c:v>
                </c:pt>
                <c:pt idx="784">
                  <c:v>33.926500000001091</c:v>
                </c:pt>
                <c:pt idx="785">
                  <c:v>33.926600000001095</c:v>
                </c:pt>
                <c:pt idx="786">
                  <c:v>33.926700000001098</c:v>
                </c:pt>
                <c:pt idx="787">
                  <c:v>33.926800000001101</c:v>
                </c:pt>
                <c:pt idx="788">
                  <c:v>33.926900000001105</c:v>
                </c:pt>
                <c:pt idx="789">
                  <c:v>33.927000000001108</c:v>
                </c:pt>
                <c:pt idx="790">
                  <c:v>33.927100000001111</c:v>
                </c:pt>
                <c:pt idx="791">
                  <c:v>33.927200000001115</c:v>
                </c:pt>
                <c:pt idx="792">
                  <c:v>33.927300000001118</c:v>
                </c:pt>
                <c:pt idx="793">
                  <c:v>33.927400000001121</c:v>
                </c:pt>
                <c:pt idx="794">
                  <c:v>33.927500000001125</c:v>
                </c:pt>
                <c:pt idx="795">
                  <c:v>33.927600000001128</c:v>
                </c:pt>
                <c:pt idx="796">
                  <c:v>33.927700000001131</c:v>
                </c:pt>
                <c:pt idx="797">
                  <c:v>33.927800000001135</c:v>
                </c:pt>
                <c:pt idx="798">
                  <c:v>33.927900000001138</c:v>
                </c:pt>
                <c:pt idx="799">
                  <c:v>33.928000000001141</c:v>
                </c:pt>
                <c:pt idx="800">
                  <c:v>33.928100000001145</c:v>
                </c:pt>
                <c:pt idx="801">
                  <c:v>33.928200000001148</c:v>
                </c:pt>
                <c:pt idx="802">
                  <c:v>33.928300000001151</c:v>
                </c:pt>
                <c:pt idx="803">
                  <c:v>33.928400000001155</c:v>
                </c:pt>
                <c:pt idx="804">
                  <c:v>33.928500000001158</c:v>
                </c:pt>
                <c:pt idx="805">
                  <c:v>33.928600000001161</c:v>
                </c:pt>
                <c:pt idx="806">
                  <c:v>33.928700000001164</c:v>
                </c:pt>
                <c:pt idx="807">
                  <c:v>33.928800000001168</c:v>
                </c:pt>
                <c:pt idx="808">
                  <c:v>33.928900000001171</c:v>
                </c:pt>
                <c:pt idx="809">
                  <c:v>33.929000000001174</c:v>
                </c:pt>
                <c:pt idx="810">
                  <c:v>33.929100000001178</c:v>
                </c:pt>
                <c:pt idx="811">
                  <c:v>33.929200000001181</c:v>
                </c:pt>
                <c:pt idx="812">
                  <c:v>33.929300000001184</c:v>
                </c:pt>
                <c:pt idx="813">
                  <c:v>33.929400000001188</c:v>
                </c:pt>
                <c:pt idx="814">
                  <c:v>33.929500000001191</c:v>
                </c:pt>
                <c:pt idx="815">
                  <c:v>33.929600000001194</c:v>
                </c:pt>
                <c:pt idx="816">
                  <c:v>33.929700000001198</c:v>
                </c:pt>
                <c:pt idx="817">
                  <c:v>33.929800000001201</c:v>
                </c:pt>
                <c:pt idx="818">
                  <c:v>33.929900000001204</c:v>
                </c:pt>
                <c:pt idx="819">
                  <c:v>33.930000000001208</c:v>
                </c:pt>
                <c:pt idx="820">
                  <c:v>33.930100000001211</c:v>
                </c:pt>
                <c:pt idx="821">
                  <c:v>33.930200000001214</c:v>
                </c:pt>
                <c:pt idx="822">
                  <c:v>33.930300000001218</c:v>
                </c:pt>
                <c:pt idx="823">
                  <c:v>33.930400000001221</c:v>
                </c:pt>
                <c:pt idx="824">
                  <c:v>33.930500000001224</c:v>
                </c:pt>
                <c:pt idx="825">
                  <c:v>33.930600000001228</c:v>
                </c:pt>
                <c:pt idx="826">
                  <c:v>33.930700000001231</c:v>
                </c:pt>
                <c:pt idx="827">
                  <c:v>33.930800000001234</c:v>
                </c:pt>
                <c:pt idx="828">
                  <c:v>33.930900000001238</c:v>
                </c:pt>
                <c:pt idx="829">
                  <c:v>33.931000000001241</c:v>
                </c:pt>
                <c:pt idx="830">
                  <c:v>33.931100000001244</c:v>
                </c:pt>
                <c:pt idx="831">
                  <c:v>33.931200000001247</c:v>
                </c:pt>
                <c:pt idx="832">
                  <c:v>33.931300000001251</c:v>
                </c:pt>
                <c:pt idx="833">
                  <c:v>33.931400000001254</c:v>
                </c:pt>
                <c:pt idx="834">
                  <c:v>33.931500000001257</c:v>
                </c:pt>
                <c:pt idx="835">
                  <c:v>33.931600000001261</c:v>
                </c:pt>
                <c:pt idx="836">
                  <c:v>33.931700000001264</c:v>
                </c:pt>
                <c:pt idx="837">
                  <c:v>33.931800000001267</c:v>
                </c:pt>
                <c:pt idx="838">
                  <c:v>33.931900000001271</c:v>
                </c:pt>
                <c:pt idx="839">
                  <c:v>33.932000000001274</c:v>
                </c:pt>
                <c:pt idx="840">
                  <c:v>33.932100000001277</c:v>
                </c:pt>
                <c:pt idx="841">
                  <c:v>33.932200000001281</c:v>
                </c:pt>
                <c:pt idx="842">
                  <c:v>33.932300000001284</c:v>
                </c:pt>
                <c:pt idx="843">
                  <c:v>33.932400000001287</c:v>
                </c:pt>
                <c:pt idx="844">
                  <c:v>33.932500000001291</c:v>
                </c:pt>
                <c:pt idx="845">
                  <c:v>33.932600000001294</c:v>
                </c:pt>
                <c:pt idx="846">
                  <c:v>33.932700000001297</c:v>
                </c:pt>
                <c:pt idx="847">
                  <c:v>33.932800000001301</c:v>
                </c:pt>
                <c:pt idx="848">
                  <c:v>33.932900000001304</c:v>
                </c:pt>
                <c:pt idx="849">
                  <c:v>33.933000000001307</c:v>
                </c:pt>
                <c:pt idx="850">
                  <c:v>33.933100000001311</c:v>
                </c:pt>
                <c:pt idx="851">
                  <c:v>33.933200000001314</c:v>
                </c:pt>
                <c:pt idx="852">
                  <c:v>33.933300000001317</c:v>
                </c:pt>
                <c:pt idx="853">
                  <c:v>33.933400000001321</c:v>
                </c:pt>
                <c:pt idx="854">
                  <c:v>33.933500000001324</c:v>
                </c:pt>
                <c:pt idx="855">
                  <c:v>33.933600000001327</c:v>
                </c:pt>
                <c:pt idx="856">
                  <c:v>33.93370000000133</c:v>
                </c:pt>
                <c:pt idx="857">
                  <c:v>33.933800000001334</c:v>
                </c:pt>
                <c:pt idx="858">
                  <c:v>33.933900000001337</c:v>
                </c:pt>
                <c:pt idx="859">
                  <c:v>33.93400000000134</c:v>
                </c:pt>
                <c:pt idx="860">
                  <c:v>33.934100000001344</c:v>
                </c:pt>
                <c:pt idx="861">
                  <c:v>33.934200000001347</c:v>
                </c:pt>
                <c:pt idx="862">
                  <c:v>33.93430000000135</c:v>
                </c:pt>
                <c:pt idx="863">
                  <c:v>33.934400000001354</c:v>
                </c:pt>
                <c:pt idx="864">
                  <c:v>33.934500000001357</c:v>
                </c:pt>
                <c:pt idx="865">
                  <c:v>33.93460000000136</c:v>
                </c:pt>
                <c:pt idx="866">
                  <c:v>33.934700000001364</c:v>
                </c:pt>
                <c:pt idx="867">
                  <c:v>33.934800000001367</c:v>
                </c:pt>
                <c:pt idx="868">
                  <c:v>33.93490000000137</c:v>
                </c:pt>
                <c:pt idx="869">
                  <c:v>33.935000000001374</c:v>
                </c:pt>
                <c:pt idx="870">
                  <c:v>33.935100000001377</c:v>
                </c:pt>
                <c:pt idx="871">
                  <c:v>33.93520000000138</c:v>
                </c:pt>
                <c:pt idx="872">
                  <c:v>33.935300000001384</c:v>
                </c:pt>
                <c:pt idx="873">
                  <c:v>33.935400000001387</c:v>
                </c:pt>
                <c:pt idx="874">
                  <c:v>33.93550000000139</c:v>
                </c:pt>
                <c:pt idx="875">
                  <c:v>33.935600000001394</c:v>
                </c:pt>
                <c:pt idx="876">
                  <c:v>33.935700000001397</c:v>
                </c:pt>
                <c:pt idx="877">
                  <c:v>33.9358000000014</c:v>
                </c:pt>
                <c:pt idx="878">
                  <c:v>33.935900000001403</c:v>
                </c:pt>
                <c:pt idx="879">
                  <c:v>33.936000000001407</c:v>
                </c:pt>
                <c:pt idx="880">
                  <c:v>33.93610000000141</c:v>
                </c:pt>
                <c:pt idx="881">
                  <c:v>33.936200000001413</c:v>
                </c:pt>
                <c:pt idx="882">
                  <c:v>33.936300000001417</c:v>
                </c:pt>
                <c:pt idx="883">
                  <c:v>33.93640000000142</c:v>
                </c:pt>
                <c:pt idx="884">
                  <c:v>33.936500000001423</c:v>
                </c:pt>
                <c:pt idx="885">
                  <c:v>33.936600000001427</c:v>
                </c:pt>
                <c:pt idx="886">
                  <c:v>33.93670000000143</c:v>
                </c:pt>
                <c:pt idx="887">
                  <c:v>33.936800000001433</c:v>
                </c:pt>
                <c:pt idx="888">
                  <c:v>33.936900000001437</c:v>
                </c:pt>
                <c:pt idx="889">
                  <c:v>33.93700000000144</c:v>
                </c:pt>
                <c:pt idx="890">
                  <c:v>33.937100000001443</c:v>
                </c:pt>
                <c:pt idx="891">
                  <c:v>33.937200000001447</c:v>
                </c:pt>
                <c:pt idx="892">
                  <c:v>33.93730000000145</c:v>
                </c:pt>
                <c:pt idx="893">
                  <c:v>33.937400000001453</c:v>
                </c:pt>
                <c:pt idx="894">
                  <c:v>33.937500000001457</c:v>
                </c:pt>
                <c:pt idx="895">
                  <c:v>33.93760000000146</c:v>
                </c:pt>
                <c:pt idx="896">
                  <c:v>33.937700000001463</c:v>
                </c:pt>
                <c:pt idx="897">
                  <c:v>33.937800000001467</c:v>
                </c:pt>
                <c:pt idx="898">
                  <c:v>33.93790000000147</c:v>
                </c:pt>
                <c:pt idx="899">
                  <c:v>33.938000000001473</c:v>
                </c:pt>
                <c:pt idx="900">
                  <c:v>33.938100000001477</c:v>
                </c:pt>
                <c:pt idx="901">
                  <c:v>33.93820000000148</c:v>
                </c:pt>
                <c:pt idx="902">
                  <c:v>33.938300000001483</c:v>
                </c:pt>
                <c:pt idx="903">
                  <c:v>33.938400000001486</c:v>
                </c:pt>
                <c:pt idx="904">
                  <c:v>33.93850000000149</c:v>
                </c:pt>
                <c:pt idx="905">
                  <c:v>33.938600000001493</c:v>
                </c:pt>
                <c:pt idx="906">
                  <c:v>33.938700000001496</c:v>
                </c:pt>
                <c:pt idx="907">
                  <c:v>33.9388000000015</c:v>
                </c:pt>
                <c:pt idx="908">
                  <c:v>33.938900000001503</c:v>
                </c:pt>
                <c:pt idx="909">
                  <c:v>33.939000000001506</c:v>
                </c:pt>
                <c:pt idx="910">
                  <c:v>33.93910000000151</c:v>
                </c:pt>
                <c:pt idx="911">
                  <c:v>33.939200000001513</c:v>
                </c:pt>
                <c:pt idx="912">
                  <c:v>33.939300000001516</c:v>
                </c:pt>
                <c:pt idx="913">
                  <c:v>33.93940000000152</c:v>
                </c:pt>
                <c:pt idx="914">
                  <c:v>33.939500000001523</c:v>
                </c:pt>
                <c:pt idx="915">
                  <c:v>33.939600000001526</c:v>
                </c:pt>
                <c:pt idx="916">
                  <c:v>33.93970000000153</c:v>
                </c:pt>
                <c:pt idx="917">
                  <c:v>33.939800000001533</c:v>
                </c:pt>
                <c:pt idx="918">
                  <c:v>33.939900000001536</c:v>
                </c:pt>
                <c:pt idx="919">
                  <c:v>33.94000000000154</c:v>
                </c:pt>
                <c:pt idx="920">
                  <c:v>33.940100000001543</c:v>
                </c:pt>
                <c:pt idx="921">
                  <c:v>33.940200000001546</c:v>
                </c:pt>
                <c:pt idx="922">
                  <c:v>33.94030000000155</c:v>
                </c:pt>
                <c:pt idx="923">
                  <c:v>33.940400000001553</c:v>
                </c:pt>
                <c:pt idx="924">
                  <c:v>33.940500000001556</c:v>
                </c:pt>
                <c:pt idx="925">
                  <c:v>33.94060000000156</c:v>
                </c:pt>
                <c:pt idx="926">
                  <c:v>33.940700000001563</c:v>
                </c:pt>
                <c:pt idx="927">
                  <c:v>33.940800000001566</c:v>
                </c:pt>
                <c:pt idx="928">
                  <c:v>33.940900000001569</c:v>
                </c:pt>
                <c:pt idx="929">
                  <c:v>33.941000000001573</c:v>
                </c:pt>
                <c:pt idx="930">
                  <c:v>33.941100000001576</c:v>
                </c:pt>
                <c:pt idx="931">
                  <c:v>33.941200000001579</c:v>
                </c:pt>
                <c:pt idx="932">
                  <c:v>33.941300000001583</c:v>
                </c:pt>
                <c:pt idx="933">
                  <c:v>33.941400000001586</c:v>
                </c:pt>
                <c:pt idx="934">
                  <c:v>33.941500000001589</c:v>
                </c:pt>
                <c:pt idx="935">
                  <c:v>33.941600000001593</c:v>
                </c:pt>
                <c:pt idx="936">
                  <c:v>33.941700000001596</c:v>
                </c:pt>
                <c:pt idx="937">
                  <c:v>33.941800000001599</c:v>
                </c:pt>
                <c:pt idx="938">
                  <c:v>33.941900000001603</c:v>
                </c:pt>
                <c:pt idx="939">
                  <c:v>33.942000000001606</c:v>
                </c:pt>
                <c:pt idx="940">
                  <c:v>33.942100000001609</c:v>
                </c:pt>
                <c:pt idx="941">
                  <c:v>33.942200000001613</c:v>
                </c:pt>
                <c:pt idx="942">
                  <c:v>33.942300000001616</c:v>
                </c:pt>
                <c:pt idx="943">
                  <c:v>33.942400000001619</c:v>
                </c:pt>
                <c:pt idx="944">
                  <c:v>33.942500000001623</c:v>
                </c:pt>
                <c:pt idx="945">
                  <c:v>33.942600000001626</c:v>
                </c:pt>
                <c:pt idx="946">
                  <c:v>33.942700000001629</c:v>
                </c:pt>
                <c:pt idx="947">
                  <c:v>33.942800000001633</c:v>
                </c:pt>
                <c:pt idx="948">
                  <c:v>33.942900000001636</c:v>
                </c:pt>
                <c:pt idx="949">
                  <c:v>33.943000000001639</c:v>
                </c:pt>
                <c:pt idx="950">
                  <c:v>33.943100000001643</c:v>
                </c:pt>
                <c:pt idx="951">
                  <c:v>33.943200000001646</c:v>
                </c:pt>
                <c:pt idx="952">
                  <c:v>33.943300000001649</c:v>
                </c:pt>
                <c:pt idx="953">
                  <c:v>33.943400000001652</c:v>
                </c:pt>
                <c:pt idx="954">
                  <c:v>33.943500000001656</c:v>
                </c:pt>
                <c:pt idx="955">
                  <c:v>33.943600000001659</c:v>
                </c:pt>
                <c:pt idx="956">
                  <c:v>33.943700000001662</c:v>
                </c:pt>
                <c:pt idx="957">
                  <c:v>33.943800000001666</c:v>
                </c:pt>
                <c:pt idx="958">
                  <c:v>33.943900000001669</c:v>
                </c:pt>
                <c:pt idx="959">
                  <c:v>33.944000000001672</c:v>
                </c:pt>
                <c:pt idx="960">
                  <c:v>33.944100000001676</c:v>
                </c:pt>
                <c:pt idx="961">
                  <c:v>33.944200000001679</c:v>
                </c:pt>
                <c:pt idx="962">
                  <c:v>33.944300000001682</c:v>
                </c:pt>
                <c:pt idx="963">
                  <c:v>33.944400000001686</c:v>
                </c:pt>
                <c:pt idx="964">
                  <c:v>33.944500000001689</c:v>
                </c:pt>
                <c:pt idx="965">
                  <c:v>33.944600000001692</c:v>
                </c:pt>
                <c:pt idx="966">
                  <c:v>33.944700000001696</c:v>
                </c:pt>
                <c:pt idx="967">
                  <c:v>33.944800000001699</c:v>
                </c:pt>
                <c:pt idx="968">
                  <c:v>33.944900000001702</c:v>
                </c:pt>
                <c:pt idx="969">
                  <c:v>33.945000000001706</c:v>
                </c:pt>
                <c:pt idx="970">
                  <c:v>33.945100000001709</c:v>
                </c:pt>
                <c:pt idx="971">
                  <c:v>33.945200000001712</c:v>
                </c:pt>
                <c:pt idx="972">
                  <c:v>33.945300000001716</c:v>
                </c:pt>
                <c:pt idx="973">
                  <c:v>33.945400000001719</c:v>
                </c:pt>
                <c:pt idx="974">
                  <c:v>33.945500000001722</c:v>
                </c:pt>
                <c:pt idx="975">
                  <c:v>33.945600000001726</c:v>
                </c:pt>
                <c:pt idx="976">
                  <c:v>33.945700000001729</c:v>
                </c:pt>
                <c:pt idx="977">
                  <c:v>33.945800000001732</c:v>
                </c:pt>
                <c:pt idx="978">
                  <c:v>33.945900000001735</c:v>
                </c:pt>
                <c:pt idx="979">
                  <c:v>33.946000000001739</c:v>
                </c:pt>
                <c:pt idx="980">
                  <c:v>33.946100000001742</c:v>
                </c:pt>
                <c:pt idx="981">
                  <c:v>33.946200000001745</c:v>
                </c:pt>
                <c:pt idx="982">
                  <c:v>33.946300000001749</c:v>
                </c:pt>
                <c:pt idx="983">
                  <c:v>33.946400000001752</c:v>
                </c:pt>
                <c:pt idx="984">
                  <c:v>33.946500000001755</c:v>
                </c:pt>
                <c:pt idx="985">
                  <c:v>33.946600000001759</c:v>
                </c:pt>
                <c:pt idx="986">
                  <c:v>33.946700000001762</c:v>
                </c:pt>
                <c:pt idx="987">
                  <c:v>33.946800000001765</c:v>
                </c:pt>
                <c:pt idx="988">
                  <c:v>33.946900000001769</c:v>
                </c:pt>
                <c:pt idx="989">
                  <c:v>33.947000000001772</c:v>
                </c:pt>
                <c:pt idx="990">
                  <c:v>33.947100000001775</c:v>
                </c:pt>
                <c:pt idx="991">
                  <c:v>33.947200000001779</c:v>
                </c:pt>
                <c:pt idx="992">
                  <c:v>33.947300000001782</c:v>
                </c:pt>
                <c:pt idx="993">
                  <c:v>33.947400000001785</c:v>
                </c:pt>
                <c:pt idx="994">
                  <c:v>33.947500000001789</c:v>
                </c:pt>
                <c:pt idx="995">
                  <c:v>33.947600000001792</c:v>
                </c:pt>
                <c:pt idx="996">
                  <c:v>33.947700000001795</c:v>
                </c:pt>
                <c:pt idx="997">
                  <c:v>33.947800000001799</c:v>
                </c:pt>
                <c:pt idx="998">
                  <c:v>33.947900000001802</c:v>
                </c:pt>
                <c:pt idx="999">
                  <c:v>33.948000000001805</c:v>
                </c:pt>
                <c:pt idx="1000">
                  <c:v>33.948100000001808</c:v>
                </c:pt>
              </c:numCache>
            </c:numRef>
          </c:xVal>
          <c:yVal>
            <c:numRef>
              <c:f>Calculs!$K$4:$K$1004</c:f>
              <c:numCache>
                <c:formatCode>0.00</c:formatCode>
                <c:ptCount val="1001"/>
                <c:pt idx="0">
                  <c:v>0</c:v>
                </c:pt>
                <c:pt idx="1">
                  <c:v>8.6628900036048477E-4</c:v>
                </c:pt>
                <c:pt idx="2">
                  <c:v>7.2012236735458125E-3</c:v>
                </c:pt>
                <c:pt idx="3">
                  <c:v>2.5017616524039755E-2</c:v>
                </c:pt>
                <c:pt idx="4">
                  <c:v>5.6354312087586476E-2</c:v>
                </c:pt>
                <c:pt idx="5">
                  <c:v>0.10073493119666843</c:v>
                </c:pt>
                <c:pt idx="6">
                  <c:v>0.15782750892855033</c:v>
                </c:pt>
                <c:pt idx="7">
                  <c:v>0.2275904628140466</c:v>
                </c:pt>
                <c:pt idx="8">
                  <c:v>0.3101276317868239</c:v>
                </c:pt>
                <c:pt idx="9">
                  <c:v>0.40554291741945758</c:v>
                </c:pt>
                <c:pt idx="10">
                  <c:v>0.51394028211170439</c:v>
                </c:pt>
                <c:pt idx="11">
                  <c:v>0.63540864029548572</c:v>
                </c:pt>
                <c:pt idx="12">
                  <c:v>0.77000670842922758</c:v>
                </c:pt>
                <c:pt idx="13">
                  <c:v>0.91777804925889894</c:v>
                </c:pt>
                <c:pt idx="14">
                  <c:v>1.0787661575146401</c:v>
                </c:pt>
                <c:pt idx="15">
                  <c:v>1.2530144585302383</c:v>
                </c:pt>
                <c:pt idx="16">
                  <c:v>1.4405663068577128</c:v>
                </c:pt>
                <c:pt idx="17">
                  <c:v>1.6414649848770997</c:v>
                </c:pt>
                <c:pt idx="18">
                  <c:v>1.8557537014015273</c:v>
                </c:pt>
                <c:pt idx="19">
                  <c:v>2.0834755902776774</c:v>
                </c:pt>
                <c:pt idx="20">
                  <c:v>2.324673708981726</c:v>
                </c:pt>
                <c:pt idx="21">
                  <c:v>2.5793849731424268</c:v>
                </c:pt>
                <c:pt idx="22">
                  <c:v>2.8476340748106428</c:v>
                </c:pt>
                <c:pt idx="23">
                  <c:v>3.1294395216112507</c:v>
                </c:pt>
                <c:pt idx="24">
                  <c:v>3.4248196924281418</c:v>
                </c:pt>
                <c:pt idx="25">
                  <c:v>3.7337928365589774</c:v>
                </c:pt>
                <c:pt idx="26">
                  <c:v>4.0563770728739126</c:v>
                </c:pt>
                <c:pt idx="27">
                  <c:v>4.3925755877908621</c:v>
                </c:pt>
                <c:pt idx="28">
                  <c:v>4.7423908160914694</c:v>
                </c:pt>
                <c:pt idx="29">
                  <c:v>5.1058392494780653</c:v>
                </c:pt>
                <c:pt idx="30">
                  <c:v>5.4829372720818874</c:v>
                </c:pt>
                <c:pt idx="31">
                  <c:v>5.873701168246237</c:v>
                </c:pt>
                <c:pt idx="32">
                  <c:v>6.2781471194657898</c:v>
                </c:pt>
                <c:pt idx="33">
                  <c:v>6.6962912015466713</c:v>
                </c:pt>
                <c:pt idx="34">
                  <c:v>7.1281493819604114</c:v>
                </c:pt>
                <c:pt idx="35">
                  <c:v>7.5737375173689676</c:v>
                </c:pt>
                <c:pt idx="36">
                  <c:v>8.0330713513014143</c:v>
                </c:pt>
                <c:pt idx="37">
                  <c:v>8.5061665119656507</c:v>
                </c:pt>
                <c:pt idx="38">
                  <c:v>8.9930385101808419</c:v>
                </c:pt>
                <c:pt idx="39">
                  <c:v>9.4937027374182215</c:v>
                </c:pt>
                <c:pt idx="40">
                  <c:v>10.00817446393954</c:v>
                </c:pt>
                <c:pt idx="41">
                  <c:v>10.536464117495703</c:v>
                </c:pt>
                <c:pt idx="42">
                  <c:v>11.07857255109665</c:v>
                </c:pt>
                <c:pt idx="43">
                  <c:v>11.634495745555906</c:v>
                </c:pt>
                <c:pt idx="44">
                  <c:v>12.204229523373577</c:v>
                </c:pt>
                <c:pt idx="45">
                  <c:v>12.787769547775413</c:v>
                </c:pt>
                <c:pt idx="46">
                  <c:v>13.385111321818952</c:v>
                </c:pt>
                <c:pt idx="47">
                  <c:v>13.996250187561616</c:v>
                </c:pt>
                <c:pt idx="48">
                  <c:v>14.621181325286233</c:v>
                </c:pt>
                <c:pt idx="49">
                  <c:v>15.259899752779951</c:v>
                </c:pt>
                <c:pt idx="50">
                  <c:v>15.91240032466289</c:v>
                </c:pt>
                <c:pt idx="51">
                  <c:v>16.578677731763335</c:v>
                </c:pt>
                <c:pt idx="52">
                  <c:v>17.258726500536522</c:v>
                </c:pt>
                <c:pt idx="53">
                  <c:v>17.952540992524415</c:v>
                </c:pt>
                <c:pt idx="54">
                  <c:v>18.660115403854107</c:v>
                </c:pt>
                <c:pt idx="55">
                  <c:v>19.381443764772694</c:v>
                </c:pt>
                <c:pt idx="56">
                  <c:v>20.116519939216683</c:v>
                </c:pt>
                <c:pt idx="57">
                  <c:v>20.865337624414206</c:v>
                </c:pt>
                <c:pt idx="58">
                  <c:v>21.627890350518371</c:v>
                </c:pt>
                <c:pt idx="59">
                  <c:v>22.404171480270371</c:v>
                </c:pt>
                <c:pt idx="60">
                  <c:v>23.194174208690953</c:v>
                </c:pt>
                <c:pt idx="61">
                  <c:v>23.997891562799051</c:v>
                </c:pt>
                <c:pt idx="62">
                  <c:v>24.815316401356483</c:v>
                </c:pt>
                <c:pt idx="63">
                  <c:v>25.646441414637643</c:v>
                </c:pt>
                <c:pt idx="64">
                  <c:v>26.491259124223284</c:v>
                </c:pt>
                <c:pt idx="65">
                  <c:v>27.349761882817514</c:v>
                </c:pt>
                <c:pt idx="66">
                  <c:v>28.221941874087179</c:v>
                </c:pt>
                <c:pt idx="67">
                  <c:v>29.107791112522925</c:v>
                </c:pt>
                <c:pt idx="68">
                  <c:v>30.007301443321229</c:v>
                </c:pt>
                <c:pt idx="69">
                  <c:v>30.920464542286776</c:v>
                </c:pt>
                <c:pt idx="70">
                  <c:v>31.847271915754604</c:v>
                </c:pt>
                <c:pt idx="71">
                  <c:v>32.787714900531427</c:v>
                </c:pt>
                <c:pt idx="72">
                  <c:v>33.741784663855668</c:v>
                </c:pt>
                <c:pt idx="73">
                  <c:v>34.709472203375725</c:v>
                </c:pt>
                <c:pt idx="74">
                  <c:v>35.690768347145983</c:v>
                </c:pt>
                <c:pt idx="75">
                  <c:v>36.685663753640199</c:v>
                </c:pt>
                <c:pt idx="76">
                  <c:v>37.694148911781852</c:v>
                </c:pt>
                <c:pt idx="77">
                  <c:v>38.716214140991106</c:v>
                </c:pt>
                <c:pt idx="78">
                  <c:v>39.751849591248018</c:v>
                </c:pt>
                <c:pt idx="79">
                  <c:v>40.8010452431717</c:v>
                </c:pt>
                <c:pt idx="80">
                  <c:v>41.863790908115085</c:v>
                </c:pt>
                <c:pt idx="81">
                  <c:v>42.940071429945675</c:v>
                </c:pt>
                <c:pt idx="82">
                  <c:v>44.029861877728656</c:v>
                </c:pt>
                <c:pt idx="83">
                  <c:v>45.133132333118112</c:v>
                </c:pt>
                <c:pt idx="84">
                  <c:v>46.24985268725333</c:v>
                </c:pt>
                <c:pt idx="85">
                  <c:v>47.379992641684524</c:v>
                </c:pt>
                <c:pt idx="86">
                  <c:v>48.523521709314743</c:v>
                </c:pt>
                <c:pt idx="87">
                  <c:v>49.680409215357621</c:v>
                </c:pt>
                <c:pt idx="88">
                  <c:v>50.850624298310578</c:v>
                </c:pt>
                <c:pt idx="89">
                  <c:v>52.034135910943156</c:v>
                </c:pt>
                <c:pt idx="90">
                  <c:v>53.230912821300144</c:v>
                </c:pt>
                <c:pt idx="91">
                  <c:v>54.440921492624689</c:v>
                </c:pt>
                <c:pt idx="92">
                  <c:v>55.66412395961769</c:v>
                </c:pt>
                <c:pt idx="93">
                  <c:v>56.900479946366985</c:v>
                </c:pt>
                <c:pt idx="94">
                  <c:v>58.14994898815317</c:v>
                </c:pt>
                <c:pt idx="95">
                  <c:v>59.41249043289254</c:v>
                </c:pt>
                <c:pt idx="96">
                  <c:v>60.688063442592998</c:v>
                </c:pt>
                <c:pt idx="97">
                  <c:v>61.976626994822567</c:v>
                </c:pt>
                <c:pt idx="98">
                  <c:v>63.27813988419021</c:v>
                </c:pt>
                <c:pt idx="99">
                  <c:v>64.592560723838545</c:v>
                </c:pt>
                <c:pt idx="100">
                  <c:v>65.919847946948224</c:v>
                </c:pt>
                <c:pt idx="101">
                  <c:v>67.259959468813378</c:v>
                </c:pt>
                <c:pt idx="102">
                  <c:v>68.612852348400565</c:v>
                </c:pt>
                <c:pt idx="103">
                  <c:v>69.978483128767778</c:v>
                </c:pt>
                <c:pt idx="104">
                  <c:v>71.35680817805185</c:v>
                </c:pt>
                <c:pt idx="105">
                  <c:v>72.747783691087108</c:v>
                </c:pt>
                <c:pt idx="106">
                  <c:v>74.151365691033703</c:v>
                </c:pt>
                <c:pt idx="107">
                  <c:v>75.567510031015274</c:v>
                </c:pt>
                <c:pt idx="108">
                  <c:v>76.996172395765669</c:v>
                </c:pt>
                <c:pt idx="109">
                  <c:v>78.437308303284482</c:v>
                </c:pt>
                <c:pt idx="110">
                  <c:v>79.890873106500976</c:v>
                </c:pt>
                <c:pt idx="111">
                  <c:v>81.356825905123841</c:v>
                </c:pt>
                <c:pt idx="112">
                  <c:v>82.835133462881416</c:v>
                </c:pt>
                <c:pt idx="113">
                  <c:v>84.325766304174451</c:v>
                </c:pt>
                <c:pt idx="114">
                  <c:v>85.828694805022124</c:v>
                </c:pt>
                <c:pt idx="115">
                  <c:v>87.343889194101806</c:v>
                </c:pt>
                <c:pt idx="116">
                  <c:v>88.871319553796894</c:v>
                </c:pt>
                <c:pt idx="117">
                  <c:v>90.410955821252557</c:v>
                </c:pt>
                <c:pt idx="118">
                  <c:v>91.962767789439269</c:v>
                </c:pt>
                <c:pt idx="119">
                  <c:v>93.526725108223843</c:v>
                </c:pt>
                <c:pt idx="120">
                  <c:v>95.102797285447949</c:v>
                </c:pt>
                <c:pt idx="121">
                  <c:v>96.690947199186212</c:v>
                </c:pt>
                <c:pt idx="122">
                  <c:v>98.291124602065452</c:v>
                </c:pt>
                <c:pt idx="123">
                  <c:v>99.903272604579229</c:v>
                </c:pt>
                <c:pt idx="124">
                  <c:v>101.52733416692158</c:v>
                </c:pt>
                <c:pt idx="125">
                  <c:v>103.16325210123135</c:v>
                </c:pt>
                <c:pt idx="126">
                  <c:v>104.81096907383936</c:v>
                </c:pt>
                <c:pt idx="127">
                  <c:v>106.47042760751795</c:v>
                </c:pt>
                <c:pt idx="128">
                  <c:v>108.14157008373277</c:v>
                </c:pt>
                <c:pt idx="129">
                  <c:v>109.82433874489629</c:v>
                </c:pt>
                <c:pt idx="130">
                  <c:v>111.51867569662285</c:v>
                </c:pt>
                <c:pt idx="131">
                  <c:v>113.22452121032657</c:v>
                </c:pt>
                <c:pt idx="132">
                  <c:v>114.9418120240928</c:v>
                </c:pt>
                <c:pt idx="133">
                  <c:v>116.67048304351177</c:v>
                </c:pt>
                <c:pt idx="134">
                  <c:v>118.41046904440124</c:v>
                </c:pt>
                <c:pt idx="135">
                  <c:v>120.16170467538571</c:v>
                </c:pt>
                <c:pt idx="136">
                  <c:v>121.92412446047344</c:v>
                </c:pt>
                <c:pt idx="137">
                  <c:v>123.69766280163101</c:v>
                </c:pt>
                <c:pt idx="138">
                  <c:v>125.48225398135497</c:v>
                </c:pt>
                <c:pt idx="139">
                  <c:v>127.27783216524035</c:v>
                </c:pt>
                <c:pt idx="140">
                  <c:v>129.08433140454554</c:v>
                </c:pt>
                <c:pt idx="141">
                  <c:v>130.90166530641716</c:v>
                </c:pt>
                <c:pt idx="142">
                  <c:v>132.72970668816069</c:v>
                </c:pt>
                <c:pt idx="143">
                  <c:v>134.56830790785585</c:v>
                </c:pt>
                <c:pt idx="144">
                  <c:v>136.41732121331219</c:v>
                </c:pt>
                <c:pt idx="145">
                  <c:v>138.2765987493795</c:v>
                </c:pt>
                <c:pt idx="146">
                  <c:v>140.1459925652083</c:v>
                </c:pt>
                <c:pt idx="147">
                  <c:v>142.02535462145951</c:v>
                </c:pt>
                <c:pt idx="148">
                  <c:v>143.91453679746186</c:v>
                </c:pt>
                <c:pt idx="149">
                  <c:v>145.81339089831641</c:v>
                </c:pt>
                <c:pt idx="150">
                  <c:v>147.72176866194664</c:v>
                </c:pt>
                <c:pt idx="151">
                  <c:v>149.63952176609362</c:v>
                </c:pt>
                <c:pt idx="152">
                  <c:v>151.56650183525502</c:v>
                </c:pt>
                <c:pt idx="153">
                  <c:v>153.50256044756694</c:v>
                </c:pt>
                <c:pt idx="154">
                  <c:v>155.4475491416278</c:v>
                </c:pt>
                <c:pt idx="155">
                  <c:v>157.40131942326346</c:v>
                </c:pt>
                <c:pt idx="156">
                  <c:v>159.36362642138494</c:v>
                </c:pt>
                <c:pt idx="157">
                  <c:v>161.33403253120548</c:v>
                </c:pt>
                <c:pt idx="158">
                  <c:v>163.31200386248253</c:v>
                </c:pt>
                <c:pt idx="159">
                  <c:v>165.29700672361676</c:v>
                </c:pt>
                <c:pt idx="160">
                  <c:v>167.28850767439644</c:v>
                </c:pt>
                <c:pt idx="161">
                  <c:v>169.28585106733385</c:v>
                </c:pt>
                <c:pt idx="162">
                  <c:v>171.28813666470111</c:v>
                </c:pt>
                <c:pt idx="163">
                  <c:v>173.29435415616197</c:v>
                </c:pt>
                <c:pt idx="164">
                  <c:v>175.30351764451225</c:v>
                </c:pt>
                <c:pt idx="165">
                  <c:v>177.31477112600189</c:v>
                </c:pt>
                <c:pt idx="166">
                  <c:v>179.32749380789372</c:v>
                </c:pt>
                <c:pt idx="167">
                  <c:v>181.34109384496603</c:v>
                </c:pt>
                <c:pt idx="168">
                  <c:v>183.35486670270612</c:v>
                </c:pt>
                <c:pt idx="169">
                  <c:v>185.36790062680041</c:v>
                </c:pt>
                <c:pt idx="170">
                  <c:v>187.37904673864361</c:v>
                </c:pt>
                <c:pt idx="171">
                  <c:v>189.38750130893436</c:v>
                </c:pt>
                <c:pt idx="172">
                  <c:v>191.39306496401636</c:v>
                </c:pt>
                <c:pt idx="173">
                  <c:v>193.39574354352331</c:v>
                </c:pt>
                <c:pt idx="174">
                  <c:v>195.39554286541716</c:v>
                </c:pt>
                <c:pt idx="175">
                  <c:v>197.39246872609442</c:v>
                </c:pt>
                <c:pt idx="176">
                  <c:v>199.38652690049204</c:v>
                </c:pt>
                <c:pt idx="177">
                  <c:v>201.37772314219248</c:v>
                </c:pt>
                <c:pt idx="178">
                  <c:v>203.36606318352813</c:v>
                </c:pt>
                <c:pt idx="179">
                  <c:v>205.35155273568523</c:v>
                </c:pt>
                <c:pt idx="180">
                  <c:v>207.33419748880698</c:v>
                </c:pt>
                <c:pt idx="181">
                  <c:v>209.31400311209615</c:v>
                </c:pt>
                <c:pt idx="182">
                  <c:v>211.29097525391691</c:v>
                </c:pt>
                <c:pt idx="183">
                  <c:v>213.26511954189621</c:v>
                </c:pt>
                <c:pt idx="184">
                  <c:v>215.23644158302437</c:v>
                </c:pt>
                <c:pt idx="185">
                  <c:v>217.20494696375516</c:v>
                </c:pt>
                <c:pt idx="186">
                  <c:v>219.17064125010526</c:v>
                </c:pt>
                <c:pt idx="187">
                  <c:v>221.13352998775306</c:v>
                </c:pt>
                <c:pt idx="188">
                  <c:v>223.09361870213689</c:v>
                </c:pt>
                <c:pt idx="189">
                  <c:v>225.05091289855264</c:v>
                </c:pt>
                <c:pt idx="190">
                  <c:v>227.00541806225078</c:v>
                </c:pt>
                <c:pt idx="191">
                  <c:v>228.95713965853284</c:v>
                </c:pt>
                <c:pt idx="192">
                  <c:v>230.90608313284724</c:v>
                </c:pt>
                <c:pt idx="193">
                  <c:v>232.85225391088454</c:v>
                </c:pt>
                <c:pt idx="194">
                  <c:v>234.79565739867218</c:v>
                </c:pt>
                <c:pt idx="195">
                  <c:v>236.73629898266853</c:v>
                </c:pt>
                <c:pt idx="196">
                  <c:v>238.67418402985655</c:v>
                </c:pt>
                <c:pt idx="197">
                  <c:v>240.60931788783665</c:v>
                </c:pt>
                <c:pt idx="198">
                  <c:v>242.54170588491922</c:v>
                </c:pt>
                <c:pt idx="199">
                  <c:v>244.47135333021643</c:v>
                </c:pt>
                <c:pt idx="200">
                  <c:v>246.39826551373358</c:v>
                </c:pt>
                <c:pt idx="201">
                  <c:v>265.51735623924014</c:v>
                </c:pt>
                <c:pt idx="202">
                  <c:v>284.36631129770609</c:v>
                </c:pt>
                <c:pt idx="203">
                  <c:v>302.95023953467677</c:v>
                </c:pt>
                <c:pt idx="204">
                  <c:v>321.27407037934501</c:v>
                </c:pt>
                <c:pt idx="205">
                  <c:v>339.34256207921163</c:v>
                </c:pt>
                <c:pt idx="206">
                  <c:v>357.16030946097283</c:v>
                </c:pt>
                <c:pt idx="207">
                  <c:v>374.73175125012062</c:v>
                </c:pt>
                <c:pt idx="208">
                  <c:v>392.06117697916005</c:v>
                </c:pt>
                <c:pt idx="209">
                  <c:v>409.15273351199926</c:v>
                </c:pt>
                <c:pt idx="210">
                  <c:v>426.01043120992881</c:v>
                </c:pt>
                <c:pt idx="211">
                  <c:v>442.63814976265553</c:v>
                </c:pt>
                <c:pt idx="212">
                  <c:v>459.03964370607497</c:v>
                </c:pt>
                <c:pt idx="213">
                  <c:v>475.21854764683849</c:v>
                </c:pt>
                <c:pt idx="214">
                  <c:v>491.17838121228226</c:v>
                </c:pt>
                <c:pt idx="215">
                  <c:v>506.92255374292114</c:v>
                </c:pt>
                <c:pt idx="216">
                  <c:v>522.45436874346012</c:v>
                </c:pt>
                <c:pt idx="217">
                  <c:v>537.77702810712992</c:v>
                </c:pt>
                <c:pt idx="218">
                  <c:v>552.89363612709826</c:v>
                </c:pt>
                <c:pt idx="219">
                  <c:v>567.80720330774102</c:v>
                </c:pt>
                <c:pt idx="220">
                  <c:v>582.52064998766696</c:v>
                </c:pt>
                <c:pt idx="221">
                  <c:v>597.03680978556679</c:v>
                </c:pt>
                <c:pt idx="222">
                  <c:v>611.3584328792042</c:v>
                </c:pt>
                <c:pt idx="223">
                  <c:v>625.48818912716638</c:v>
                </c:pt>
                <c:pt idx="224">
                  <c:v>639.42867104234813</c:v>
                </c:pt>
                <c:pt idx="225">
                  <c:v>653.18239662554959</c:v>
                </c:pt>
                <c:pt idx="226">
                  <c:v>666.75181206701609</c:v>
                </c:pt>
                <c:pt idx="227">
                  <c:v>680.1392943232388</c:v>
                </c:pt>
                <c:pt idx="228">
                  <c:v>693.34715357586549</c:v>
                </c:pt>
                <c:pt idx="229">
                  <c:v>706.37763557913161</c:v>
                </c:pt>
                <c:pt idx="230">
                  <c:v>719.23292390181655</c:v>
                </c:pt>
                <c:pt idx="231">
                  <c:v>731.91514206935449</c:v>
                </c:pt>
                <c:pt idx="232">
                  <c:v>744.42635561137945</c:v>
                </c:pt>
                <c:pt idx="233">
                  <c:v>756.76857401965856</c:v>
                </c:pt>
                <c:pt idx="234">
                  <c:v>768.94375262106632</c:v>
                </c:pt>
                <c:pt idx="235">
                  <c:v>780.95379436997064</c:v>
                </c:pt>
                <c:pt idx="236">
                  <c:v>792.80055156414016</c:v>
                </c:pt>
                <c:pt idx="237">
                  <c:v>804.48582748803756</c:v>
                </c:pt>
                <c:pt idx="238">
                  <c:v>816.01137798713648</c:v>
                </c:pt>
                <c:pt idx="239">
                  <c:v>827.37891297668716</c:v>
                </c:pt>
                <c:pt idx="240">
                  <c:v>838.59009788815729</c:v>
                </c:pt>
                <c:pt idx="241">
                  <c:v>849.64655505638984</c:v>
                </c:pt>
                <c:pt idx="242">
                  <c:v>860.54986505034594</c:v>
                </c:pt>
                <c:pt idx="243">
                  <c:v>871.30156795013932</c:v>
                </c:pt>
                <c:pt idx="244">
                  <c:v>881.90316457291681</c:v>
                </c:pt>
                <c:pt idx="245">
                  <c:v>892.35611764999828</c:v>
                </c:pt>
                <c:pt idx="246">
                  <c:v>902.66185295755554</c:v>
                </c:pt>
                <c:pt idx="247">
                  <c:v>912.82176040298509</c:v>
                </c:pt>
                <c:pt idx="248">
                  <c:v>922.83719506901411</c:v>
                </c:pt>
                <c:pt idx="249">
                  <c:v>932.70947821746779</c:v>
                </c:pt>
                <c:pt idx="250">
                  <c:v>942.43989825452365</c:v>
                </c:pt>
                <c:pt idx="251">
                  <c:v>952.02971165918234</c:v>
                </c:pt>
                <c:pt idx="252">
                  <c:v>961.48014387659305</c:v>
                </c:pt>
                <c:pt idx="253">
                  <c:v>970.79239017778627</c:v>
                </c:pt>
                <c:pt idx="254">
                  <c:v>979.96761648728636</c:v>
                </c:pt>
                <c:pt idx="255">
                  <c:v>989.00696018000099</c:v>
                </c:pt>
                <c:pt idx="256">
                  <c:v>997.91153084871257</c:v>
                </c:pt>
                <c:pt idx="257">
                  <c:v>1006.6824110434319</c:v>
                </c:pt>
                <c:pt idx="258">
                  <c:v>1015.3206569838072</c:v>
                </c:pt>
                <c:pt idx="259">
                  <c:v>1023.8272992457272</c:v>
                </c:pt>
                <c:pt idx="260">
                  <c:v>1032.2033434231957</c:v>
                </c:pt>
                <c:pt idx="261">
                  <c:v>1040.4497707665073</c:v>
                </c:pt>
                <c:pt idx="262">
                  <c:v>1048.5675387976985</c:v>
                </c:pt>
                <c:pt idx="263">
                  <c:v>1056.5575819042072</c:v>
                </c:pt>
                <c:pt idx="264">
                  <c:v>1064.4208119116236</c:v>
                </c:pt>
                <c:pt idx="265">
                  <c:v>1072.1581186363771</c:v>
                </c:pt>
                <c:pt idx="266">
                  <c:v>1079.770370419164</c:v>
                </c:pt>
                <c:pt idx="267">
                  <c:v>1087.2584146398801</c:v>
                </c:pt>
                <c:pt idx="268">
                  <c:v>1094.6230782147918</c:v>
                </c:pt>
                <c:pt idx="269">
                  <c:v>1101.8651680766411</c:v>
                </c:pt>
                <c:pt idx="270">
                  <c:v>1108.9854716383527</c:v>
                </c:pt>
                <c:pt idx="271">
                  <c:v>1115.9847572409769</c:v>
                </c:pt>
                <c:pt idx="272">
                  <c:v>1122.8637745864796</c:v>
                </c:pt>
                <c:pt idx="273">
                  <c:v>1129.6232551559563</c:v>
                </c:pt>
                <c:pt idx="274">
                  <c:v>1136.2639126138315</c:v>
                </c:pt>
                <c:pt idx="275">
                  <c:v>1142.7864431985724</c:v>
                </c:pt>
                <c:pt idx="276">
                  <c:v>1149.1915261004287</c:v>
                </c:pt>
                <c:pt idx="277">
                  <c:v>1155.4798238266876</c:v>
                </c:pt>
                <c:pt idx="278">
                  <c:v>1161.6519825549137</c:v>
                </c:pt>
                <c:pt idx="279">
                  <c:v>1167.7086324746242</c:v>
                </c:pt>
                <c:pt idx="280">
                  <c:v>1173.6503881178335</c:v>
                </c:pt>
                <c:pt idx="281">
                  <c:v>1179.4778486788839</c:v>
                </c:pt>
                <c:pt idx="282">
                  <c:v>1185.1915983239655</c:v>
                </c:pt>
                <c:pt idx="283">
                  <c:v>1190.7922064907116</c:v>
                </c:pt>
                <c:pt idx="284">
                  <c:v>1196.2802281782454</c:v>
                </c:pt>
                <c:pt idx="285">
                  <c:v>1201.6562042280416</c:v>
                </c:pt>
                <c:pt idx="286">
                  <c:v>1206.9206615959536</c:v>
                </c:pt>
                <c:pt idx="287">
                  <c:v>1212.074113615749</c:v>
                </c:pt>
                <c:pt idx="288">
                  <c:v>1217.1170602544862</c:v>
                </c:pt>
                <c:pt idx="289">
                  <c:v>1222.049988360058</c:v>
                </c:pt>
                <c:pt idx="290">
                  <c:v>1226.8733719012212</c:v>
                </c:pt>
                <c:pt idx="291">
                  <c:v>1231.5876722004245</c:v>
                </c:pt>
                <c:pt idx="292">
                  <c:v>1236.1933381597455</c:v>
                </c:pt>
                <c:pt idx="293">
                  <c:v>1240.6908064802408</c:v>
                </c:pt>
                <c:pt idx="294">
                  <c:v>1245.0805018750166</c:v>
                </c:pt>
                <c:pt idx="295">
                  <c:v>1249.3628372763205</c:v>
                </c:pt>
                <c:pt idx="296">
                  <c:v>1253.5382140369641</c:v>
                </c:pt>
                <c:pt idx="297">
                  <c:v>1257.6070221263801</c:v>
                </c:pt>
                <c:pt idx="298">
                  <c:v>1261.5696403216336</c:v>
                </c:pt>
                <c:pt idx="299">
                  <c:v>1265.4264363937018</c:v>
                </c:pt>
                <c:pt idx="300">
                  <c:v>1269.177767289355</c:v>
                </c:pt>
                <c:pt idx="301">
                  <c:v>1272.8239793089767</c:v>
                </c:pt>
                <c:pt idx="302">
                  <c:v>1276.3654082806811</c:v>
                </c:pt>
                <c:pt idx="303">
                  <c:v>1279.8023797310921</c:v>
                </c:pt>
                <c:pt idx="304">
                  <c:v>1283.1352090531809</c:v>
                </c:pt>
                <c:pt idx="305">
                  <c:v>1286.364201671573</c:v>
                </c:pt>
                <c:pt idx="306">
                  <c:v>1289.4896532057635</c:v>
                </c:pt>
                <c:pt idx="307">
                  <c:v>1292.5118496317145</c:v>
                </c:pt>
                <c:pt idx="308">
                  <c:v>1295.43106744234</c:v>
                </c:pt>
                <c:pt idx="309">
                  <c:v>1298.247573807424</c:v>
                </c:pt>
                <c:pt idx="310">
                  <c:v>1300.961626733563</c:v>
                </c:pt>
                <c:pt idx="311">
                  <c:v>1303.5734752247736</c:v>
                </c:pt>
                <c:pt idx="312">
                  <c:v>1306.0833594444616</c:v>
                </c:pt>
                <c:pt idx="313">
                  <c:v>1308.491510879508</c:v>
                </c:pt>
                <c:pt idx="314">
                  <c:v>1310.7981525072958</c:v>
                </c:pt>
                <c:pt idx="315">
                  <c:v>1313.0034989665689</c:v>
                </c:pt>
                <c:pt idx="316">
                  <c:v>1315.107756733094</c:v>
                </c:pt>
                <c:pt idx="317">
                  <c:v>1317.1111243011665</c:v>
                </c:pt>
                <c:pt idx="318">
                  <c:v>1319.0137923720883</c:v>
                </c:pt>
                <c:pt idx="319">
                  <c:v>1320.81594405082</c:v>
                </c:pt>
                <c:pt idx="320">
                  <c:v>1322.51775505208</c:v>
                </c:pt>
                <c:pt idx="321">
                  <c:v>1324.1193939172363</c:v>
                </c:pt>
                <c:pt idx="322">
                  <c:v>1325.621022243381</c:v>
                </c:pt>
                <c:pt idx="323">
                  <c:v>1327.0227949260161</c:v>
                </c:pt>
                <c:pt idx="324">
                  <c:v>1328.3248604167791</c:v>
                </c:pt>
                <c:pt idx="325">
                  <c:v>1329.5273609976141</c:v>
                </c:pt>
                <c:pt idx="326">
                  <c:v>1330.6304330727162</c:v>
                </c:pt>
                <c:pt idx="327">
                  <c:v>1331.6342074794536</c:v>
                </c:pt>
                <c:pt idx="328">
                  <c:v>1332.5388098192857</c:v>
                </c:pt>
                <c:pt idx="329">
                  <c:v>1333.3443608094392</c:v>
                </c:pt>
                <c:pt idx="330">
                  <c:v>1334.0509766557805</c:v>
                </c:pt>
                <c:pt idx="331">
                  <c:v>1334.6587694469183</c:v>
                </c:pt>
                <c:pt idx="332">
                  <c:v>1335.1678475691085</c:v>
                </c:pt>
                <c:pt idx="333">
                  <c:v>1335.5783161410031</c:v>
                </c:pt>
                <c:pt idx="334">
                  <c:v>1335.8902774667242</c:v>
                </c:pt>
                <c:pt idx="335">
                  <c:v>1336.1038315051574</c:v>
                </c:pt>
                <c:pt idx="336">
                  <c:v>1336.2190763527988</c:v>
                </c:pt>
                <c:pt idx="337">
                  <c:v>1336.2361087369588</c:v>
                </c:pt>
                <c:pt idx="338">
                  <c:v>1336.1550245156895</c:v>
                </c:pt>
                <c:pt idx="339">
                  <c:v>1335.9759191804633</c:v>
                </c:pt>
                <c:pt idx="340">
                  <c:v>1335.6988883574356</c:v>
                </c:pt>
                <c:pt idx="341">
                  <c:v>1335.3240283030686</c:v>
                </c:pt>
                <c:pt idx="342">
                  <c:v>1334.8514363899967</c:v>
                </c:pt>
                <c:pt idx="343">
                  <c:v>1334.2812115792638</c:v>
                </c:pt>
                <c:pt idx="344">
                  <c:v>1333.6134548754326</c:v>
                </c:pt>
                <c:pt idx="345">
                  <c:v>1332.8482697615457</c:v>
                </c:pt>
                <c:pt idx="346">
                  <c:v>1331.9857626114576</c:v>
                </c:pt>
                <c:pt idx="347">
                  <c:v>1331.0260430776407</c:v>
                </c:pt>
                <c:pt idx="348">
                  <c:v>1329.9692244531468</c:v>
                </c:pt>
                <c:pt idx="349">
                  <c:v>1328.8154240069639</c:v>
                </c:pt>
                <c:pt idx="350">
                  <c:v>1327.5647632925168</c:v>
                </c:pt>
                <c:pt idx="351">
                  <c:v>1326.2173684295087</c:v>
                </c:pt>
                <c:pt idx="352">
                  <c:v>1324.7733703596743</c:v>
                </c:pt>
                <c:pt idx="353">
                  <c:v>1323.2329050773169</c:v>
                </c:pt>
                <c:pt idx="354">
                  <c:v>1321.5961138357306</c:v>
                </c:pt>
                <c:pt idx="355">
                  <c:v>1319.8631433307712</c:v>
                </c:pt>
                <c:pt idx="356">
                  <c:v>1318.0341458629366</c:v>
                </c:pt>
                <c:pt idx="357">
                  <c:v>1316.1092794793781</c:v>
                </c:pt>
                <c:pt idx="358">
                  <c:v>1314.088708097265</c:v>
                </c:pt>
                <c:pt idx="359">
                  <c:v>1311.9726016099094</c:v>
                </c:pt>
                <c:pt idx="360">
                  <c:v>1309.7611359770096</c:v>
                </c:pt>
                <c:pt idx="361">
                  <c:v>1307.4544933003071</c:v>
                </c:pt>
                <c:pt idx="362">
                  <c:v>1305.0528618858759</c:v>
                </c:pt>
                <c:pt idx="363">
                  <c:v>1302.5564362941836</c:v>
                </c:pt>
                <c:pt idx="364">
                  <c:v>1299.9654173789777</c:v>
                </c:pt>
                <c:pt idx="365">
                  <c:v>1297.2800123159634</c:v>
                </c:pt>
                <c:pt idx="366">
                  <c:v>1294.5004346221647</c:v>
                </c:pt>
                <c:pt idx="367">
                  <c:v>1291.626904166769</c:v>
                </c:pt>
                <c:pt idx="368">
                  <c:v>1288.659647174195</c:v>
                </c:pt>
                <c:pt idx="369">
                  <c:v>1285.5988962200433</c:v>
                </c:pt>
                <c:pt idx="370">
                  <c:v>1282.4448902205311</c:v>
                </c:pt>
                <c:pt idx="371">
                  <c:v>1279.1978744159514</c:v>
                </c:pt>
                <c:pt idx="372">
                  <c:v>1275.8581003486486</c:v>
                </c:pt>
                <c:pt idx="373">
                  <c:v>1272.4258258359432</c:v>
                </c:pt>
                <c:pt idx="374">
                  <c:v>1268.9013149384114</c:v>
                </c:pt>
                <c:pt idx="375">
                  <c:v>1265.2848379238696</c:v>
                </c:pt>
                <c:pt idx="376">
                  <c:v>1261.5766712273921</c:v>
                </c:pt>
                <c:pt idx="377">
                  <c:v>1257.7770974076509</c:v>
                </c:pt>
                <c:pt idx="378">
                  <c:v>1253.8864050998436</c:v>
                </c:pt>
                <c:pt idx="379">
                  <c:v>1249.9048889654484</c:v>
                </c:pt>
                <c:pt idx="380">
                  <c:v>1245.8328496390241</c:v>
                </c:pt>
                <c:pt idx="381">
                  <c:v>1241.6705936722515</c:v>
                </c:pt>
                <c:pt idx="382">
                  <c:v>1237.4184334754013</c:v>
                </c:pt>
                <c:pt idx="383">
                  <c:v>1233.0766872563902</c:v>
                </c:pt>
                <c:pt idx="384">
                  <c:v>1228.6456789575777</c:v>
                </c:pt>
                <c:pt idx="385">
                  <c:v>1224.1257381904466</c:v>
                </c:pt>
                <c:pt idx="386">
                  <c:v>1219.517200168292</c:v>
                </c:pt>
                <c:pt idx="387">
                  <c:v>1214.820405637043</c:v>
                </c:pt>
                <c:pt idx="388">
                  <c:v>1210.0357008043243</c:v>
                </c:pt>
                <c:pt idx="389">
                  <c:v>1205.1634372668641</c:v>
                </c:pt>
                <c:pt idx="390">
                  <c:v>1200.2039719363443</c:v>
                </c:pt>
                <c:pt idx="391">
                  <c:v>1195.1576669637845</c:v>
                </c:pt>
                <c:pt idx="392">
                  <c:v>1190.0248896625462</c:v>
                </c:pt>
                <c:pt idx="393">
                  <c:v>1184.8060124300353</c:v>
                </c:pt>
                <c:pt idx="394">
                  <c:v>1179.501412668184</c:v>
                </c:pt>
                <c:pt idx="395">
                  <c:v>1174.1114727027825</c:v>
                </c:pt>
                <c:pt idx="396">
                  <c:v>1168.6365797017302</c:v>
                </c:pt>
                <c:pt idx="397">
                  <c:v>1163.0771255922732</c:v>
                </c:pt>
                <c:pt idx="398">
                  <c:v>1157.4335069772926</c:v>
                </c:pt>
                <c:pt idx="399">
                  <c:v>1151.7061250507038</c:v>
                </c:pt>
                <c:pt idx="400">
                  <c:v>1145.895385512026</c:v>
                </c:pt>
                <c:pt idx="401">
                  <c:v>1140.00169848018</c:v>
                </c:pt>
                <c:pt idx="402">
                  <c:v>1134.0254784065673</c:v>
                </c:pt>
                <c:pt idx="403">
                  <c:v>1127.9671439874853</c:v>
                </c:pt>
                <c:pt idx="404">
                  <c:v>1121.8271180759302</c:v>
                </c:pt>
                <c:pt idx="405">
                  <c:v>1115.6058275928378</c:v>
                </c:pt>
                <c:pt idx="406">
                  <c:v>1109.3037034378101</c:v>
                </c:pt>
                <c:pt idx="407">
                  <c:v>1102.9211803993776</c:v>
                </c:pt>
                <c:pt idx="408">
                  <c:v>1096.4586970648415</c:v>
                </c:pt>
                <c:pt idx="409">
                  <c:v>1089.916695729743</c:v>
                </c:pt>
                <c:pt idx="410">
                  <c:v>1083.2956223070028</c:v>
                </c:pt>
                <c:pt idx="411">
                  <c:v>1076.5959262357749</c:v>
                </c:pt>
                <c:pt idx="412">
                  <c:v>1069.8180603900576</c:v>
                </c:pt>
                <c:pt idx="413">
                  <c:v>1062.962480987102</c:v>
                </c:pt>
                <c:pt idx="414">
                  <c:v>1056.0296474956597</c:v>
                </c:pt>
                <c:pt idx="415">
                  <c:v>1049.0200225441092</c:v>
                </c:pt>
                <c:pt idx="416">
                  <c:v>1041.9340718285016</c:v>
                </c:pt>
                <c:pt idx="417">
                  <c:v>1034.7722640205607</c:v>
                </c:pt>
                <c:pt idx="418">
                  <c:v>1027.5350706756778</c:v>
                </c:pt>
                <c:pt idx="419">
                  <c:v>1020.2229661409385</c:v>
                </c:pt>
                <c:pt idx="420">
                  <c:v>1012.8364274632144</c:v>
                </c:pt>
                <c:pt idx="421">
                  <c:v>1005.3759342973584</c:v>
                </c:pt>
                <c:pt idx="422">
                  <c:v>997.84196881453704</c:v>
                </c:pt>
                <c:pt idx="423">
                  <c:v>990.23501561073329</c:v>
                </c:pt>
                <c:pt idx="424">
                  <c:v>982.55556161545417</c:v>
                </c:pt>
                <c:pt idx="425">
                  <c:v>974.80409600067549</c:v>
                </c:pt>
                <c:pt idx="426">
                  <c:v>966.98111009005538</c:v>
                </c:pt>
                <c:pt idx="427">
                  <c:v>959.08709726844813</c:v>
                </c:pt>
                <c:pt idx="428">
                  <c:v>951.12255289174925</c:v>
                </c:pt>
                <c:pt idx="429">
                  <c:v>943.08797419710118</c:v>
                </c:pt>
                <c:pt idx="430">
                  <c:v>934.98386021348927</c:v>
                </c:pt>
                <c:pt idx="431">
                  <c:v>926.81071167275638</c:v>
                </c:pt>
                <c:pt idx="432">
                  <c:v>918.56903092106461</c:v>
                </c:pt>
                <c:pt idx="433">
                  <c:v>910.25932183083069</c:v>
                </c:pt>
                <c:pt idx="434">
                  <c:v>901.88208971316203</c:v>
                </c:pt>
                <c:pt idx="435">
                  <c:v>893.43784123081946</c:v>
                </c:pt>
                <c:pt idx="436">
                  <c:v>884.92708431173196</c:v>
                </c:pt>
                <c:pt idx="437">
                  <c:v>876.3503280630872</c:v>
                </c:pt>
                <c:pt idx="438">
                  <c:v>867.70808268602309</c:v>
                </c:pt>
                <c:pt idx="439">
                  <c:v>859.00085939094288</c:v>
                </c:pt>
                <c:pt idx="440">
                  <c:v>850.22917031347595</c:v>
                </c:pt>
                <c:pt idx="441">
                  <c:v>841.3935284311076</c:v>
                </c:pt>
                <c:pt idx="442">
                  <c:v>832.49444748049757</c:v>
                </c:pt>
                <c:pt idx="443">
                  <c:v>823.53244187550877</c:v>
                </c:pt>
                <c:pt idx="444">
                  <c:v>814.50802662596618</c:v>
                </c:pt>
                <c:pt idx="445">
                  <c:v>805.42171725716491</c:v>
                </c:pt>
                <c:pt idx="446">
                  <c:v>796.2740297301458</c:v>
                </c:pt>
                <c:pt idx="447">
                  <c:v>787.06548036275706</c:v>
                </c:pt>
                <c:pt idx="448">
                  <c:v>777.79658575151893</c:v>
                </c:pt>
                <c:pt idx="449">
                  <c:v>768.46786269430788</c:v>
                </c:pt>
                <c:pt idx="450">
                  <c:v>759.07982811387672</c:v>
                </c:pt>
                <c:pt idx="451">
                  <c:v>749.63299898222522</c:v>
                </c:pt>
                <c:pt idx="452">
                  <c:v>740.12789224583707</c:v>
                </c:pt>
                <c:pt idx="453">
                  <c:v>730.56502475179582</c:v>
                </c:pt>
                <c:pt idx="454">
                  <c:v>720.94491317479424</c:v>
                </c:pt>
                <c:pt idx="455">
                  <c:v>711.26807394504965</c:v>
                </c:pt>
                <c:pt idx="456">
                  <c:v>701.53502317713674</c:v>
                </c:pt>
                <c:pt idx="457">
                  <c:v>691.74627659975044</c:v>
                </c:pt>
                <c:pt idx="458">
                  <c:v>681.90234948640853</c:v>
                </c:pt>
                <c:pt idx="459">
                  <c:v>672.00375658710516</c:v>
                </c:pt>
                <c:pt idx="460">
                  <c:v>662.05101206092456</c:v>
                </c:pt>
                <c:pt idx="461">
                  <c:v>652.04462940962412</c:v>
                </c:pt>
                <c:pt idx="462">
                  <c:v>641.98512141219487</c:v>
                </c:pt>
                <c:pt idx="463">
                  <c:v>631.87300006040789</c:v>
                </c:pt>
                <c:pt idx="464">
                  <c:v>621.70877649535328</c:v>
                </c:pt>
                <c:pt idx="465">
                  <c:v>611.49296094497913</c:v>
                </c:pt>
                <c:pt idx="466">
                  <c:v>601.22606266263551</c:v>
                </c:pt>
                <c:pt idx="467">
                  <c:v>590.90858986663045</c:v>
                </c:pt>
                <c:pt idx="468">
                  <c:v>580.54104968080151</c:v>
                </c:pt>
                <c:pt idx="469">
                  <c:v>570.12394807610826</c:v>
                </c:pt>
                <c:pt idx="470">
                  <c:v>559.65778981324945</c:v>
                </c:pt>
                <c:pt idx="471">
                  <c:v>549.14307838630828</c:v>
                </c:pt>
                <c:pt idx="472">
                  <c:v>538.58031596742831</c:v>
                </c:pt>
                <c:pt idx="473">
                  <c:v>527.97000335252278</c:v>
                </c:pt>
                <c:pt idx="474">
                  <c:v>517.3126399080187</c:v>
                </c:pt>
                <c:pt idx="475">
                  <c:v>506.60872351863782</c:v>
                </c:pt>
                <c:pt idx="476">
                  <c:v>495.85875053621459</c:v>
                </c:pt>
                <c:pt idx="477">
                  <c:v>485.06321572955198</c:v>
                </c:pt>
                <c:pt idx="478">
                  <c:v>474.22261223531467</c:v>
                </c:pt>
                <c:pt idx="479">
                  <c:v>463.33743150995963</c:v>
                </c:pt>
                <c:pt idx="480">
                  <c:v>452.40816328270256</c:v>
                </c:pt>
                <c:pt idx="481">
                  <c:v>441.43529550951916</c:v>
                </c:pt>
                <c:pt idx="482">
                  <c:v>430.41931432817921</c:v>
                </c:pt>
                <c:pt idx="483">
                  <c:v>419.36070401431112</c:v>
                </c:pt>
                <c:pt idx="484">
                  <c:v>408.25994693849441</c:v>
                </c:pt>
                <c:pt idx="485">
                  <c:v>397.11752352437719</c:v>
                </c:pt>
                <c:pt idx="486">
                  <c:v>385.93391220781467</c:v>
                </c:pt>
                <c:pt idx="487">
                  <c:v>374.70958939702547</c:v>
                </c:pt>
                <c:pt idx="488">
                  <c:v>363.44502943376108</c:v>
                </c:pt>
                <c:pt idx="489">
                  <c:v>352.14070455548421</c:v>
                </c:pt>
                <c:pt idx="490">
                  <c:v>340.79708485855076</c:v>
                </c:pt>
                <c:pt idx="491">
                  <c:v>329.41463826239061</c:v>
                </c:pt>
                <c:pt idx="492">
                  <c:v>317.99383047468115</c:v>
                </c:pt>
                <c:pt idx="493">
                  <c:v>306.53512495750829</c:v>
                </c:pt>
                <c:pt idx="494">
                  <c:v>295.03898289450791</c:v>
                </c:pt>
                <c:pt idx="495">
                  <c:v>283.50586315898215</c:v>
                </c:pt>
                <c:pt idx="496">
                  <c:v>271.93622228298307</c:v>
                </c:pt>
                <c:pt idx="497">
                  <c:v>260.33051442735689</c:v>
                </c:pt>
                <c:pt idx="498">
                  <c:v>248.68919135274152</c:v>
                </c:pt>
                <c:pt idx="499">
                  <c:v>237.01270239150983</c:v>
                </c:pt>
                <c:pt idx="500">
                  <c:v>225.3014944206505</c:v>
                </c:pt>
                <c:pt idx="501">
                  <c:v>213.55601183557886</c:v>
                </c:pt>
                <c:pt idx="502">
                  <c:v>201.77669652486892</c:v>
                </c:pt>
                <c:pt idx="503">
                  <c:v>189.96398784589863</c:v>
                </c:pt>
                <c:pt idx="504">
                  <c:v>178.11832260139906</c:v>
                </c:pt>
                <c:pt idx="505">
                  <c:v>166.24013501689907</c:v>
                </c:pt>
                <c:pt idx="506">
                  <c:v>154.32985671905604</c:v>
                </c:pt>
                <c:pt idx="507">
                  <c:v>142.38791671486348</c:v>
                </c:pt>
                <c:pt idx="508">
                  <c:v>130.41474137172617</c:v>
                </c:pt>
                <c:pt idx="509">
                  <c:v>118.4107543983929</c:v>
                </c:pt>
                <c:pt idx="510">
                  <c:v>106.37637682673738</c:v>
                </c:pt>
                <c:pt idx="511">
                  <c:v>94.31202699437722</c:v>
                </c:pt>
                <c:pt idx="512">
                  <c:v>82.218120528120721</c:v>
                </c:pt>
                <c:pt idx="513">
                  <c:v>70.095070328231827</c:v>
                </c:pt>
                <c:pt idx="514">
                  <c:v>57.943286553502297</c:v>
                </c:pt>
                <c:pt idx="515">
                  <c:v>45.763176607121189</c:v>
                </c:pt>
                <c:pt idx="516">
                  <c:v>33.555145123330803</c:v>
                </c:pt>
                <c:pt idx="517">
                  <c:v>21.319593954858657</c:v>
                </c:pt>
                <c:pt idx="518">
                  <c:v>9.0569221611146666</c:v>
                </c:pt>
                <c:pt idx="519">
                  <c:v>-3.232474002857165</c:v>
                </c:pt>
                <c:pt idx="520">
                  <c:v>-3.2447766755611598</c:v>
                </c:pt>
                <c:pt idx="521">
                  <c:v>-3.2570793743998752</c:v>
                </c:pt>
                <c:pt idx="522">
                  <c:v>-3.2693820993729226</c:v>
                </c:pt>
                <c:pt idx="523">
                  <c:v>-3.2816848504799134</c:v>
                </c:pt>
                <c:pt idx="524">
                  <c:v>-3.2939876277204601</c:v>
                </c:pt>
                <c:pt idx="525">
                  <c:v>-3.3062904310941734</c:v>
                </c:pt>
                <c:pt idx="526">
                  <c:v>-3.3185932606006654</c:v>
                </c:pt>
                <c:pt idx="527">
                  <c:v>-3.3308961162395478</c:v>
                </c:pt>
                <c:pt idx="528">
                  <c:v>-3.3431989980104322</c:v>
                </c:pt>
                <c:pt idx="529">
                  <c:v>-3.3555019059129303</c:v>
                </c:pt>
                <c:pt idx="530">
                  <c:v>-3.367804839946654</c:v>
                </c:pt>
                <c:pt idx="531">
                  <c:v>-3.3801078001112148</c:v>
                </c:pt>
                <c:pt idx="532">
                  <c:v>-3.3924107864062241</c:v>
                </c:pt>
                <c:pt idx="533">
                  <c:v>-3.4047137988312941</c:v>
                </c:pt>
                <c:pt idx="534">
                  <c:v>-3.4170168373860359</c:v>
                </c:pt>
                <c:pt idx="535">
                  <c:v>-3.4293199020700618</c:v>
                </c:pt>
                <c:pt idx="536">
                  <c:v>-3.4416229928829831</c:v>
                </c:pt>
                <c:pt idx="537">
                  <c:v>-3.4539261098244114</c:v>
                </c:pt>
                <c:pt idx="538">
                  <c:v>-3.4662292528939589</c:v>
                </c:pt>
                <c:pt idx="539">
                  <c:v>-3.478532422091237</c:v>
                </c:pt>
                <c:pt idx="540">
                  <c:v>-3.4908356174158572</c:v>
                </c:pt>
                <c:pt idx="541">
                  <c:v>-3.5031388388674314</c:v>
                </c:pt>
                <c:pt idx="542">
                  <c:v>-3.5154420864455713</c:v>
                </c:pt>
                <c:pt idx="543">
                  <c:v>-3.5277453601498885</c:v>
                </c:pt>
                <c:pt idx="544">
                  <c:v>-3.5400486599799947</c:v>
                </c:pt>
                <c:pt idx="545">
                  <c:v>-3.5523519859355019</c:v>
                </c:pt>
                <c:pt idx="546">
                  <c:v>-3.564655338016022</c:v>
                </c:pt>
                <c:pt idx="547">
                  <c:v>-3.5769587162211662</c:v>
                </c:pt>
                <c:pt idx="548">
                  <c:v>-3.5892621205505466</c:v>
                </c:pt>
                <c:pt idx="549">
                  <c:v>-3.6015655510037745</c:v>
                </c:pt>
                <c:pt idx="550">
                  <c:v>-3.6138690075804618</c:v>
                </c:pt>
                <c:pt idx="551">
                  <c:v>-3.6261724902802204</c:v>
                </c:pt>
                <c:pt idx="552">
                  <c:v>-3.6384759991026621</c:v>
                </c:pt>
                <c:pt idx="553">
                  <c:v>-3.6507795340473983</c:v>
                </c:pt>
                <c:pt idx="554">
                  <c:v>-3.663083095114041</c:v>
                </c:pt>
                <c:pt idx="555">
                  <c:v>-3.6753866823022019</c:v>
                </c:pt>
                <c:pt idx="556">
                  <c:v>-3.6876902956114925</c:v>
                </c:pt>
                <c:pt idx="557">
                  <c:v>-3.6999939350415252</c:v>
                </c:pt>
                <c:pt idx="558">
                  <c:v>-3.7122976005919113</c:v>
                </c:pt>
                <c:pt idx="559">
                  <c:v>-3.7246012922622622</c:v>
                </c:pt>
                <c:pt idx="560">
                  <c:v>-3.7369050100521903</c:v>
                </c:pt>
                <c:pt idx="561">
                  <c:v>-3.749208753961307</c:v>
                </c:pt>
                <c:pt idx="562">
                  <c:v>-3.7615125239892242</c:v>
                </c:pt>
                <c:pt idx="563">
                  <c:v>-3.7738163201355537</c:v>
                </c:pt>
                <c:pt idx="564">
                  <c:v>-3.7861201423999074</c:v>
                </c:pt>
                <c:pt idx="565">
                  <c:v>-3.7984239907818966</c:v>
                </c:pt>
                <c:pt idx="566">
                  <c:v>-3.8107278652811334</c:v>
                </c:pt>
                <c:pt idx="567">
                  <c:v>-3.8230317658972295</c:v>
                </c:pt>
                <c:pt idx="568">
                  <c:v>-3.8353356926297968</c:v>
                </c:pt>
                <c:pt idx="569">
                  <c:v>-3.8476396454784472</c:v>
                </c:pt>
                <c:pt idx="570">
                  <c:v>-3.859943624442792</c:v>
                </c:pt>
                <c:pt idx="571">
                  <c:v>-3.8722476295224433</c:v>
                </c:pt>
                <c:pt idx="572">
                  <c:v>-3.8845516607170127</c:v>
                </c:pt>
                <c:pt idx="573">
                  <c:v>-3.8968557180261123</c:v>
                </c:pt>
                <c:pt idx="574">
                  <c:v>-3.9091598014493538</c:v>
                </c:pt>
                <c:pt idx="575">
                  <c:v>-3.9214639109863492</c:v>
                </c:pt>
                <c:pt idx="576">
                  <c:v>-3.9337680466367098</c:v>
                </c:pt>
                <c:pt idx="577">
                  <c:v>-3.9460722084000479</c:v>
                </c:pt>
                <c:pt idx="578">
                  <c:v>-3.958376396275975</c:v>
                </c:pt>
                <c:pt idx="579">
                  <c:v>-3.970680610264103</c:v>
                </c:pt>
                <c:pt idx="580">
                  <c:v>-3.9829848503640437</c:v>
                </c:pt>
                <c:pt idx="581">
                  <c:v>-3.995289116575409</c:v>
                </c:pt>
                <c:pt idx="582">
                  <c:v>-4.0075934088978107</c:v>
                </c:pt>
                <c:pt idx="583">
                  <c:v>-4.0198977273308607</c:v>
                </c:pt>
                <c:pt idx="584">
                  <c:v>-4.0322020718741705</c:v>
                </c:pt>
                <c:pt idx="585">
                  <c:v>-4.0445064425273518</c:v>
                </c:pt>
                <c:pt idx="586">
                  <c:v>-4.0568108392900175</c:v>
                </c:pt>
                <c:pt idx="587">
                  <c:v>-4.0691152621617785</c:v>
                </c:pt>
                <c:pt idx="588">
                  <c:v>-4.0814197111422468</c:v>
                </c:pt>
                <c:pt idx="589">
                  <c:v>-4.0937241862310341</c:v>
                </c:pt>
                <c:pt idx="590">
                  <c:v>-4.1060286874277523</c:v>
                </c:pt>
                <c:pt idx="591">
                  <c:v>-4.1183332147320133</c:v>
                </c:pt>
                <c:pt idx="592">
                  <c:v>-4.130637768143429</c:v>
                </c:pt>
                <c:pt idx="593">
                  <c:v>-4.1429423476616121</c:v>
                </c:pt>
                <c:pt idx="594">
                  <c:v>-4.1552469532861736</c:v>
                </c:pt>
                <c:pt idx="595">
                  <c:v>-4.1675515850167253</c:v>
                </c:pt>
                <c:pt idx="596">
                  <c:v>-4.1798562428528792</c:v>
                </c:pt>
                <c:pt idx="597">
                  <c:v>-4.192160926794247</c:v>
                </c:pt>
                <c:pt idx="598">
                  <c:v>-4.2044656368404407</c:v>
                </c:pt>
                <c:pt idx="599">
                  <c:v>-4.2167703729910722</c:v>
                </c:pt>
                <c:pt idx="600">
                  <c:v>-4.2290751352457532</c:v>
                </c:pt>
                <c:pt idx="601">
                  <c:v>-4.2413799236040957</c:v>
                </c:pt>
                <c:pt idx="602">
                  <c:v>-4.2536847380657115</c:v>
                </c:pt>
                <c:pt idx="603">
                  <c:v>-4.2659895786302124</c:v>
                </c:pt>
                <c:pt idx="604">
                  <c:v>-4.2782944452972105</c:v>
                </c:pt>
                <c:pt idx="605">
                  <c:v>-4.2905993380663174</c:v>
                </c:pt>
                <c:pt idx="606">
                  <c:v>-4.3029042569371452</c:v>
                </c:pt>
                <c:pt idx="607">
                  <c:v>-4.3152092019093056</c:v>
                </c:pt>
                <c:pt idx="608">
                  <c:v>-4.3275141729824114</c:v>
                </c:pt>
                <c:pt idx="609">
                  <c:v>-4.3398191701560735</c:v>
                </c:pt>
                <c:pt idx="610">
                  <c:v>-4.352124193429904</c:v>
                </c:pt>
                <c:pt idx="611">
                  <c:v>-4.3644292428035154</c:v>
                </c:pt>
                <c:pt idx="612">
                  <c:v>-4.3767343182765188</c:v>
                </c:pt>
                <c:pt idx="613">
                  <c:v>-4.3890394198485261</c:v>
                </c:pt>
                <c:pt idx="614">
                  <c:v>-4.4013445475191499</c:v>
                </c:pt>
                <c:pt idx="615">
                  <c:v>-4.4136497012880014</c:v>
                </c:pt>
                <c:pt idx="616">
                  <c:v>-4.4259548811546932</c:v>
                </c:pt>
                <c:pt idx="617">
                  <c:v>-4.4382600871188362</c:v>
                </c:pt>
                <c:pt idx="618">
                  <c:v>-4.4505653191800434</c:v>
                </c:pt>
                <c:pt idx="619">
                  <c:v>-4.4628705773379265</c:v>
                </c:pt>
                <c:pt idx="620">
                  <c:v>-4.4751758615920973</c:v>
                </c:pt>
                <c:pt idx="621">
                  <c:v>-4.4874811719421679</c:v>
                </c:pt>
                <c:pt idx="622">
                  <c:v>-4.49978650838775</c:v>
                </c:pt>
                <c:pt idx="623">
                  <c:v>-4.5120918709284554</c:v>
                </c:pt>
                <c:pt idx="624">
                  <c:v>-4.5243972595638962</c:v>
                </c:pt>
                <c:pt idx="625">
                  <c:v>-4.536702674293684</c:v>
                </c:pt>
                <c:pt idx="626">
                  <c:v>-4.5490081151174309</c:v>
                </c:pt>
                <c:pt idx="627">
                  <c:v>-4.5613135820347495</c:v>
                </c:pt>
                <c:pt idx="628">
                  <c:v>-4.5736190750452508</c:v>
                </c:pt>
                <c:pt idx="629">
                  <c:v>-4.5859245941485476</c:v>
                </c:pt>
                <c:pt idx="630">
                  <c:v>-4.5982301393442517</c:v>
                </c:pt>
                <c:pt idx="631">
                  <c:v>-4.6105357106319742</c:v>
                </c:pt>
                <c:pt idx="632">
                  <c:v>-4.6228413080113278</c:v>
                </c:pt>
                <c:pt idx="633">
                  <c:v>-4.6351469314819242</c:v>
                </c:pt>
                <c:pt idx="634">
                  <c:v>-4.6474525810433756</c:v>
                </c:pt>
                <c:pt idx="635">
                  <c:v>-4.6597582566952944</c:v>
                </c:pt>
                <c:pt idx="636">
                  <c:v>-4.6720639584372918</c:v>
                </c:pt>
                <c:pt idx="637">
                  <c:v>-4.6843696862689796</c:v>
                </c:pt>
                <c:pt idx="638">
                  <c:v>-4.6966754401899706</c:v>
                </c:pt>
                <c:pt idx="639">
                  <c:v>-4.7089812201998766</c:v>
                </c:pt>
                <c:pt idx="640">
                  <c:v>-4.7212870262983095</c:v>
                </c:pt>
                <c:pt idx="641">
                  <c:v>-4.7335928584848812</c:v>
                </c:pt>
                <c:pt idx="642">
                  <c:v>-4.7458987167592035</c:v>
                </c:pt>
                <c:pt idx="643">
                  <c:v>-4.7582046011208883</c:v>
                </c:pt>
                <c:pt idx="644">
                  <c:v>-4.7705105115695483</c:v>
                </c:pt>
                <c:pt idx="645">
                  <c:v>-4.7828164481047946</c:v>
                </c:pt>
                <c:pt idx="646">
                  <c:v>-4.7951224107262398</c:v>
                </c:pt>
                <c:pt idx="647">
                  <c:v>-4.8074283994334959</c:v>
                </c:pt>
                <c:pt idx="648">
                  <c:v>-4.8197344142261747</c:v>
                </c:pt>
                <c:pt idx="649">
                  <c:v>-4.832040455103888</c:v>
                </c:pt>
                <c:pt idx="650">
                  <c:v>-4.8443465220662487</c:v>
                </c:pt>
                <c:pt idx="651">
                  <c:v>-4.8566526151128677</c:v>
                </c:pt>
                <c:pt idx="652">
                  <c:v>-4.8689587342433578</c:v>
                </c:pt>
                <c:pt idx="653">
                  <c:v>-4.8812648794573308</c:v>
                </c:pt>
                <c:pt idx="654">
                  <c:v>-4.8935710507543986</c:v>
                </c:pt>
                <c:pt idx="655">
                  <c:v>-4.905877248134173</c:v>
                </c:pt>
                <c:pt idx="656">
                  <c:v>-4.918183471596266</c:v>
                </c:pt>
                <c:pt idx="657">
                  <c:v>-4.9304897211402903</c:v>
                </c:pt>
                <c:pt idx="658">
                  <c:v>-4.9427959967658577</c:v>
                </c:pt>
                <c:pt idx="659">
                  <c:v>-4.9551022984725801</c:v>
                </c:pt>
                <c:pt idx="660">
                  <c:v>-4.9674086262600694</c:v>
                </c:pt>
                <c:pt idx="661">
                  <c:v>-4.9797149801279375</c:v>
                </c:pt>
                <c:pt idx="662">
                  <c:v>-4.992021360075797</c:v>
                </c:pt>
                <c:pt idx="663">
                  <c:v>-5.0043277661032599</c:v>
                </c:pt>
                <c:pt idx="664">
                  <c:v>-5.0166341982099381</c:v>
                </c:pt>
                <c:pt idx="665">
                  <c:v>-5.0289406563954433</c:v>
                </c:pt>
                <c:pt idx="666">
                  <c:v>-5.0412471406593875</c:v>
                </c:pt>
                <c:pt idx="667">
                  <c:v>-5.0535536510013834</c:v>
                </c:pt>
                <c:pt idx="668">
                  <c:v>-5.0658601874210429</c:v>
                </c:pt>
                <c:pt idx="669">
                  <c:v>-5.0781667499179779</c:v>
                </c:pt>
                <c:pt idx="670">
                  <c:v>-5.0904733384918002</c:v>
                </c:pt>
                <c:pt idx="671">
                  <c:v>-5.1027799531421225</c:v>
                </c:pt>
                <c:pt idx="672">
                  <c:v>-5.1150865938685568</c:v>
                </c:pt>
                <c:pt idx="673">
                  <c:v>-5.1273932606707149</c:v>
                </c:pt>
                <c:pt idx="674">
                  <c:v>-5.1396999535482086</c:v>
                </c:pt>
                <c:pt idx="675">
                  <c:v>-5.1520066725006508</c:v>
                </c:pt>
                <c:pt idx="676">
                  <c:v>-5.1643134175276524</c:v>
                </c:pt>
                <c:pt idx="677">
                  <c:v>-5.1766201886288261</c:v>
                </c:pt>
                <c:pt idx="678">
                  <c:v>-5.1889269858037848</c:v>
                </c:pt>
                <c:pt idx="679">
                  <c:v>-5.2012338090521393</c:v>
                </c:pt>
                <c:pt idx="680">
                  <c:v>-5.2135406583735024</c:v>
                </c:pt>
                <c:pt idx="681">
                  <c:v>-5.2258475337674861</c:v>
                </c:pt>
                <c:pt idx="682">
                  <c:v>-5.2381544352337022</c:v>
                </c:pt>
                <c:pt idx="683">
                  <c:v>-5.2504613627717633</c:v>
                </c:pt>
                <c:pt idx="684">
                  <c:v>-5.2627683163812815</c:v>
                </c:pt>
                <c:pt idx="685">
                  <c:v>-5.2750752960618685</c:v>
                </c:pt>
                <c:pt idx="686">
                  <c:v>-5.2873823018131363</c:v>
                </c:pt>
                <c:pt idx="687">
                  <c:v>-5.2996893336346975</c:v>
                </c:pt>
                <c:pt idx="688">
                  <c:v>-5.3119963915261641</c:v>
                </c:pt>
                <c:pt idx="689">
                  <c:v>-5.3243034754871479</c:v>
                </c:pt>
                <c:pt idx="690">
                  <c:v>-5.3366105855172608</c:v>
                </c:pt>
                <c:pt idx="691">
                  <c:v>-5.3489177216161155</c:v>
                </c:pt>
                <c:pt idx="692">
                  <c:v>-5.3612248837833238</c:v>
                </c:pt>
                <c:pt idx="693">
                  <c:v>-5.3735320720184987</c:v>
                </c:pt>
                <c:pt idx="694">
                  <c:v>-5.3858392863212519</c:v>
                </c:pt>
                <c:pt idx="695">
                  <c:v>-5.3981465266911952</c:v>
                </c:pt>
                <c:pt idx="696">
                  <c:v>-5.4104537931279406</c:v>
                </c:pt>
                <c:pt idx="697">
                  <c:v>-5.4227610856311008</c:v>
                </c:pt>
                <c:pt idx="698">
                  <c:v>-5.4350684042002877</c:v>
                </c:pt>
                <c:pt idx="699">
                  <c:v>-5.4473757488351131</c:v>
                </c:pt>
                <c:pt idx="700">
                  <c:v>-5.4596831195351889</c:v>
                </c:pt>
                <c:pt idx="701">
                  <c:v>-5.4719905163001279</c:v>
                </c:pt>
                <c:pt idx="702">
                  <c:v>-5.4842979391295428</c:v>
                </c:pt>
                <c:pt idx="703">
                  <c:v>-5.4966053880230445</c:v>
                </c:pt>
                <c:pt idx="704">
                  <c:v>-5.508912862980246</c:v>
                </c:pt>
                <c:pt idx="705">
                  <c:v>-5.5212203640007589</c:v>
                </c:pt>
                <c:pt idx="706">
                  <c:v>-5.5335278910841961</c:v>
                </c:pt>
                <c:pt idx="707">
                  <c:v>-5.5458354442301694</c:v>
                </c:pt>
                <c:pt idx="708">
                  <c:v>-5.5581430234382907</c:v>
                </c:pt>
                <c:pt idx="709">
                  <c:v>-5.5704506287081728</c:v>
                </c:pt>
                <c:pt idx="710">
                  <c:v>-5.5827582600394274</c:v>
                </c:pt>
                <c:pt idx="711">
                  <c:v>-5.5950659174316666</c:v>
                </c:pt>
                <c:pt idx="712">
                  <c:v>-5.607373600884503</c:v>
                </c:pt>
                <c:pt idx="713">
                  <c:v>-5.6196813103975485</c:v>
                </c:pt>
                <c:pt idx="714">
                  <c:v>-5.6319890459704149</c:v>
                </c:pt>
                <c:pt idx="715">
                  <c:v>-5.6442968076027151</c:v>
                </c:pt>
                <c:pt idx="716">
                  <c:v>-5.6566045952940618</c:v>
                </c:pt>
                <c:pt idx="717">
                  <c:v>-5.6689124090440659</c:v>
                </c:pt>
                <c:pt idx="718">
                  <c:v>-5.6812202488523402</c:v>
                </c:pt>
                <c:pt idx="719">
                  <c:v>-5.6935281147184966</c:v>
                </c:pt>
                <c:pt idx="720">
                  <c:v>-5.7058360066421479</c:v>
                </c:pt>
                <c:pt idx="721">
                  <c:v>-5.7181439246229058</c:v>
                </c:pt>
                <c:pt idx="722">
                  <c:v>-5.7304518686603831</c:v>
                </c:pt>
                <c:pt idx="723">
                  <c:v>-5.7427598387541918</c:v>
                </c:pt>
                <c:pt idx="724">
                  <c:v>-5.7550678349039437</c:v>
                </c:pt>
                <c:pt idx="725">
                  <c:v>-5.7673758571092506</c:v>
                </c:pt>
                <c:pt idx="726">
                  <c:v>-5.7796839053697262</c:v>
                </c:pt>
                <c:pt idx="727">
                  <c:v>-5.7919919796849815</c:v>
                </c:pt>
                <c:pt idx="728">
                  <c:v>-5.8043000800546292</c:v>
                </c:pt>
                <c:pt idx="729">
                  <c:v>-5.8166082064782811</c:v>
                </c:pt>
                <c:pt idx="730">
                  <c:v>-5.8289163589555502</c:v>
                </c:pt>
                <c:pt idx="731">
                  <c:v>-5.8412245374860481</c:v>
                </c:pt>
                <c:pt idx="732">
                  <c:v>-5.8535327420693877</c:v>
                </c:pt>
                <c:pt idx="733">
                  <c:v>-5.8658409727051808</c:v>
                </c:pt>
                <c:pt idx="734">
                  <c:v>-5.8781492293930393</c:v>
                </c:pt>
                <c:pt idx="735">
                  <c:v>-5.890457512132576</c:v>
                </c:pt>
                <c:pt idx="736">
                  <c:v>-5.9027658209234026</c:v>
                </c:pt>
                <c:pt idx="737">
                  <c:v>-5.9150741557651321</c:v>
                </c:pt>
                <c:pt idx="738">
                  <c:v>-5.9273825166573761</c:v>
                </c:pt>
                <c:pt idx="739">
                  <c:v>-5.9396909035997476</c:v>
                </c:pt>
                <c:pt idx="740">
                  <c:v>-5.9519993165918583</c:v>
                </c:pt>
                <c:pt idx="741">
                  <c:v>-5.9643077556333211</c:v>
                </c:pt>
                <c:pt idx="742">
                  <c:v>-5.9766162207237468</c:v>
                </c:pt>
                <c:pt idx="743">
                  <c:v>-5.9889247118627491</c:v>
                </c:pt>
                <c:pt idx="744">
                  <c:v>-6.0012332290499399</c:v>
                </c:pt>
                <c:pt idx="745">
                  <c:v>-6.0135417722849311</c:v>
                </c:pt>
                <c:pt idx="746">
                  <c:v>-6.0258503415673355</c:v>
                </c:pt>
                <c:pt idx="747">
                  <c:v>-6.0381589368967648</c:v>
                </c:pt>
                <c:pt idx="748">
                  <c:v>-6.0504675582728318</c:v>
                </c:pt>
                <c:pt idx="749">
                  <c:v>-6.0627762056951484</c:v>
                </c:pt>
                <c:pt idx="750">
                  <c:v>-6.0750848791633274</c:v>
                </c:pt>
                <c:pt idx="751">
                  <c:v>-6.0873935786769806</c:v>
                </c:pt>
                <c:pt idx="752">
                  <c:v>-6.0997023042357208</c:v>
                </c:pt>
                <c:pt idx="753">
                  <c:v>-6.1120110558391598</c:v>
                </c:pt>
                <c:pt idx="754">
                  <c:v>-6.1243198334869104</c:v>
                </c:pt>
                <c:pt idx="755">
                  <c:v>-6.1366286371785845</c:v>
                </c:pt>
                <c:pt idx="756">
                  <c:v>-6.1489374669137948</c:v>
                </c:pt>
                <c:pt idx="757">
                  <c:v>-6.1612463226921532</c:v>
                </c:pt>
                <c:pt idx="758">
                  <c:v>-6.1735552045132724</c:v>
                </c:pt>
                <c:pt idx="759">
                  <c:v>-6.1858641123767644</c:v>
                </c:pt>
                <c:pt idx="760">
                  <c:v>-6.1981730462822417</c:v>
                </c:pt>
                <c:pt idx="761">
                  <c:v>-6.2104820062293165</c:v>
                </c:pt>
                <c:pt idx="762">
                  <c:v>-6.2227909922176003</c:v>
                </c:pt>
                <c:pt idx="763">
                  <c:v>-6.2351000042467071</c:v>
                </c:pt>
                <c:pt idx="764">
                  <c:v>-6.2474090423162476</c:v>
                </c:pt>
                <c:pt idx="765">
                  <c:v>-6.2597181064258356</c:v>
                </c:pt>
                <c:pt idx="766">
                  <c:v>-6.2720271965750829</c:v>
                </c:pt>
                <c:pt idx="767">
                  <c:v>-6.2843363127636014</c:v>
                </c:pt>
                <c:pt idx="768">
                  <c:v>-6.2966454549910038</c:v>
                </c:pt>
                <c:pt idx="769">
                  <c:v>-6.308954623256902</c:v>
                </c:pt>
                <c:pt idx="770">
                  <c:v>-6.3212638175609088</c:v>
                </c:pt>
                <c:pt idx="771">
                  <c:v>-6.3335730379026369</c:v>
                </c:pt>
                <c:pt idx="772">
                  <c:v>-6.3458822842816982</c:v>
                </c:pt>
                <c:pt idx="773">
                  <c:v>-6.3581915566977054</c:v>
                </c:pt>
                <c:pt idx="774">
                  <c:v>-6.3705008551502704</c:v>
                </c:pt>
                <c:pt idx="775">
                  <c:v>-6.382810179639006</c:v>
                </c:pt>
                <c:pt idx="776">
                  <c:v>-6.395119530163524</c:v>
                </c:pt>
                <c:pt idx="777">
                  <c:v>-6.4074289067234371</c:v>
                </c:pt>
                <c:pt idx="778">
                  <c:v>-6.4197383093183573</c:v>
                </c:pt>
                <c:pt idx="779">
                  <c:v>-6.4320477379478973</c:v>
                </c:pt>
                <c:pt idx="780">
                  <c:v>-6.4443571926116698</c:v>
                </c:pt>
                <c:pt idx="781">
                  <c:v>-6.4566666733092868</c:v>
                </c:pt>
                <c:pt idx="782">
                  <c:v>-6.4689761800403609</c:v>
                </c:pt>
                <c:pt idx="783">
                  <c:v>-6.4812857128045041</c:v>
                </c:pt>
                <c:pt idx="784">
                  <c:v>-6.493595271601329</c:v>
                </c:pt>
                <c:pt idx="785">
                  <c:v>-6.5059048564304485</c:v>
                </c:pt>
                <c:pt idx="786">
                  <c:v>-6.5182144672914744</c:v>
                </c:pt>
                <c:pt idx="787">
                  <c:v>-6.5305241041840185</c:v>
                </c:pt>
                <c:pt idx="788">
                  <c:v>-6.5428337671076946</c:v>
                </c:pt>
                <c:pt idx="789">
                  <c:v>-6.5551434560621145</c:v>
                </c:pt>
                <c:pt idx="790">
                  <c:v>-6.56745317104689</c:v>
                </c:pt>
                <c:pt idx="791">
                  <c:v>-6.5797629120616339</c:v>
                </c:pt>
                <c:pt idx="792">
                  <c:v>-6.592072679105959</c:v>
                </c:pt>
                <c:pt idx="793">
                  <c:v>-6.604382472179477</c:v>
                </c:pt>
                <c:pt idx="794">
                  <c:v>-6.6166922912818009</c:v>
                </c:pt>
                <c:pt idx="795">
                  <c:v>-6.6290021364125433</c:v>
                </c:pt>
                <c:pt idx="796">
                  <c:v>-6.6413120075713161</c:v>
                </c:pt>
                <c:pt idx="797">
                  <c:v>-6.6536219047577321</c:v>
                </c:pt>
                <c:pt idx="798">
                  <c:v>-6.665931827971403</c:v>
                </c:pt>
                <c:pt idx="799">
                  <c:v>-6.6782417772119427</c:v>
                </c:pt>
                <c:pt idx="800">
                  <c:v>-6.6905517524789619</c:v>
                </c:pt>
                <c:pt idx="801">
                  <c:v>-6.7028617537720745</c:v>
                </c:pt>
                <c:pt idx="802">
                  <c:v>-6.7151717810908922</c:v>
                </c:pt>
                <c:pt idx="803">
                  <c:v>-6.7274818344350269</c:v>
                </c:pt>
                <c:pt idx="804">
                  <c:v>-6.7397919138040923</c:v>
                </c:pt>
                <c:pt idx="805">
                  <c:v>-6.7521020191977001</c:v>
                </c:pt>
                <c:pt idx="806">
                  <c:v>-6.7644121506154624</c:v>
                </c:pt>
                <c:pt idx="807">
                  <c:v>-6.7767223080569927</c:v>
                </c:pt>
                <c:pt idx="808">
                  <c:v>-6.7890324915219029</c:v>
                </c:pt>
                <c:pt idx="809">
                  <c:v>-6.8013427010098049</c:v>
                </c:pt>
                <c:pt idx="810">
                  <c:v>-6.8136529365203122</c:v>
                </c:pt>
                <c:pt idx="811">
                  <c:v>-6.8259631980530369</c:v>
                </c:pt>
                <c:pt idx="812">
                  <c:v>-6.8382734856075906</c:v>
                </c:pt>
                <c:pt idx="813">
                  <c:v>-6.8505837991835863</c:v>
                </c:pt>
                <c:pt idx="814">
                  <c:v>-6.8628941387806366</c:v>
                </c:pt>
                <c:pt idx="815">
                  <c:v>-6.8752045043983543</c:v>
                </c:pt>
                <c:pt idx="816">
                  <c:v>-6.8875148960363521</c:v>
                </c:pt>
                <c:pt idx="817">
                  <c:v>-6.899825313694242</c:v>
                </c:pt>
                <c:pt idx="818">
                  <c:v>-6.9121357573716358</c:v>
                </c:pt>
                <c:pt idx="819">
                  <c:v>-6.9244462270681471</c:v>
                </c:pt>
                <c:pt idx="820">
                  <c:v>-6.9367567227833877</c:v>
                </c:pt>
                <c:pt idx="821">
                  <c:v>-6.9490672445169706</c:v>
                </c:pt>
                <c:pt idx="822">
                  <c:v>-6.9613777922685074</c:v>
                </c:pt>
                <c:pt idx="823">
                  <c:v>-6.9736883660376119</c:v>
                </c:pt>
                <c:pt idx="824">
                  <c:v>-6.9859989658238959</c:v>
                </c:pt>
                <c:pt idx="825">
                  <c:v>-6.9983095916269722</c:v>
                </c:pt>
                <c:pt idx="826">
                  <c:v>-7.0106202434464526</c:v>
                </c:pt>
                <c:pt idx="827">
                  <c:v>-7.02293092128195</c:v>
                </c:pt>
                <c:pt idx="828">
                  <c:v>-7.0352416251330769</c:v>
                </c:pt>
                <c:pt idx="829">
                  <c:v>-7.0475523549994463</c:v>
                </c:pt>
                <c:pt idx="830">
                  <c:v>-7.05986311088067</c:v>
                </c:pt>
                <c:pt idx="831">
                  <c:v>-7.0721738927763607</c:v>
                </c:pt>
                <c:pt idx="832">
                  <c:v>-7.0844847006861311</c:v>
                </c:pt>
                <c:pt idx="833">
                  <c:v>-7.0967955346095932</c:v>
                </c:pt>
                <c:pt idx="834">
                  <c:v>-7.1091063945463606</c:v>
                </c:pt>
                <c:pt idx="835">
                  <c:v>-7.1214172804960452</c:v>
                </c:pt>
                <c:pt idx="836">
                  <c:v>-7.1337281924582596</c:v>
                </c:pt>
                <c:pt idx="837">
                  <c:v>-7.1460391304326158</c:v>
                </c:pt>
                <c:pt idx="838">
                  <c:v>-7.1583500944187275</c:v>
                </c:pt>
                <c:pt idx="839">
                  <c:v>-7.1706610844162064</c:v>
                </c:pt>
                <c:pt idx="840">
                  <c:v>-7.1829721004246645</c:v>
                </c:pt>
                <c:pt idx="841">
                  <c:v>-7.1952831424437154</c:v>
                </c:pt>
                <c:pt idx="842">
                  <c:v>-7.2075942104729709</c:v>
                </c:pt>
                <c:pt idx="843">
                  <c:v>-7.2199053045120447</c:v>
                </c:pt>
                <c:pt idx="844">
                  <c:v>-7.2322164245605487</c:v>
                </c:pt>
                <c:pt idx="845">
                  <c:v>-7.2445275706180947</c:v>
                </c:pt>
                <c:pt idx="846">
                  <c:v>-7.2568387426842964</c:v>
                </c:pt>
                <c:pt idx="847">
                  <c:v>-7.2691499407587656</c:v>
                </c:pt>
                <c:pt idx="848">
                  <c:v>-7.2814611648411152</c:v>
                </c:pt>
                <c:pt idx="849">
                  <c:v>-7.2937724149309577</c:v>
                </c:pt>
                <c:pt idx="850">
                  <c:v>-7.3060836910279061</c:v>
                </c:pt>
                <c:pt idx="851">
                  <c:v>-7.3183949931315722</c:v>
                </c:pt>
                <c:pt idx="852">
                  <c:v>-7.3307063212415686</c:v>
                </c:pt>
                <c:pt idx="853">
                  <c:v>-7.3430176753575083</c:v>
                </c:pt>
                <c:pt idx="854">
                  <c:v>-7.3553290554790038</c:v>
                </c:pt>
                <c:pt idx="855">
                  <c:v>-7.3676404616056681</c:v>
                </c:pt>
                <c:pt idx="856">
                  <c:v>-7.3799518937371138</c:v>
                </c:pt>
                <c:pt idx="857">
                  <c:v>-7.3922633518729528</c:v>
                </c:pt>
                <c:pt idx="858">
                  <c:v>-7.4045748360127979</c:v>
                </c:pt>
                <c:pt idx="859">
                  <c:v>-7.4168863461562617</c:v>
                </c:pt>
                <c:pt idx="860">
                  <c:v>-7.4291978823029572</c:v>
                </c:pt>
                <c:pt idx="861">
                  <c:v>-7.4415094444524961</c:v>
                </c:pt>
                <c:pt idx="862">
                  <c:v>-7.453821032604492</c:v>
                </c:pt>
                <c:pt idx="863">
                  <c:v>-7.4661326467585569</c:v>
                </c:pt>
                <c:pt idx="864">
                  <c:v>-7.4784442869143035</c:v>
                </c:pt>
                <c:pt idx="865">
                  <c:v>-7.4907559530713446</c:v>
                </c:pt>
                <c:pt idx="866">
                  <c:v>-7.5030676452292928</c:v>
                </c:pt>
                <c:pt idx="867">
                  <c:v>-7.515379363387761</c:v>
                </c:pt>
                <c:pt idx="868">
                  <c:v>-7.5276911075463611</c:v>
                </c:pt>
                <c:pt idx="869">
                  <c:v>-7.5400028777047066</c:v>
                </c:pt>
                <c:pt idx="870">
                  <c:v>-7.5523146738624094</c:v>
                </c:pt>
                <c:pt idx="871">
                  <c:v>-7.5646264960190823</c:v>
                </c:pt>
                <c:pt idx="872">
                  <c:v>-7.5769383441743381</c:v>
                </c:pt>
                <c:pt idx="873">
                  <c:v>-7.5892502183277895</c:v>
                </c:pt>
                <c:pt idx="874">
                  <c:v>-7.6015621184790483</c:v>
                </c:pt>
                <c:pt idx="875">
                  <c:v>-7.6138740446277282</c:v>
                </c:pt>
                <c:pt idx="876">
                  <c:v>-7.626185996773442</c:v>
                </c:pt>
                <c:pt idx="877">
                  <c:v>-7.6384979749158015</c:v>
                </c:pt>
                <c:pt idx="878">
                  <c:v>-7.6508099790544195</c:v>
                </c:pt>
                <c:pt idx="879">
                  <c:v>-7.6631220091889087</c:v>
                </c:pt>
                <c:pt idx="880">
                  <c:v>-7.6754340653188819</c:v>
                </c:pt>
                <c:pt idx="881">
                  <c:v>-7.6877461474439519</c:v>
                </c:pt>
                <c:pt idx="882">
                  <c:v>-7.7000582555637314</c:v>
                </c:pt>
                <c:pt idx="883">
                  <c:v>-7.7123703896778331</c:v>
                </c:pt>
                <c:pt idx="884">
                  <c:v>-7.7246825497858689</c:v>
                </c:pt>
                <c:pt idx="885">
                  <c:v>-7.7369947358874525</c:v>
                </c:pt>
                <c:pt idx="886">
                  <c:v>-7.7493069479821957</c:v>
                </c:pt>
                <c:pt idx="887">
                  <c:v>-7.7616191860697112</c:v>
                </c:pt>
                <c:pt idx="888">
                  <c:v>-7.7739314501496128</c:v>
                </c:pt>
                <c:pt idx="889">
                  <c:v>-7.7862437402215123</c:v>
                </c:pt>
                <c:pt idx="890">
                  <c:v>-7.7985560562850225</c:v>
                </c:pt>
                <c:pt idx="891">
                  <c:v>-7.810868398339756</c:v>
                </c:pt>
                <c:pt idx="892">
                  <c:v>-7.8231807663853257</c:v>
                </c:pt>
                <c:pt idx="893">
                  <c:v>-7.8354931604213442</c:v>
                </c:pt>
                <c:pt idx="894">
                  <c:v>-7.8478055804474236</c:v>
                </c:pt>
                <c:pt idx="895">
                  <c:v>-7.8601180264631774</c:v>
                </c:pt>
                <c:pt idx="896">
                  <c:v>-7.8724304984682183</c:v>
                </c:pt>
                <c:pt idx="897">
                  <c:v>-7.8847429964621591</c:v>
                </c:pt>
                <c:pt idx="898">
                  <c:v>-7.8970555204446118</c:v>
                </c:pt>
                <c:pt idx="899">
                  <c:v>-7.9093680704151899</c:v>
                </c:pt>
                <c:pt idx="900">
                  <c:v>-7.9216806463735052</c:v>
                </c:pt>
                <c:pt idx="901">
                  <c:v>-7.9339932483191715</c:v>
                </c:pt>
                <c:pt idx="902">
                  <c:v>-7.9463058762518006</c:v>
                </c:pt>
                <c:pt idx="903">
                  <c:v>-7.9586185301710053</c:v>
                </c:pt>
                <c:pt idx="904">
                  <c:v>-7.9709312100763992</c:v>
                </c:pt>
                <c:pt idx="905">
                  <c:v>-7.9832439159675941</c:v>
                </c:pt>
                <c:pt idx="906">
                  <c:v>-7.9955566478442028</c:v>
                </c:pt>
                <c:pt idx="907">
                  <c:v>-8.0078694057058382</c:v>
                </c:pt>
                <c:pt idx="908">
                  <c:v>-8.0201821895521128</c:v>
                </c:pt>
                <c:pt idx="909">
                  <c:v>-8.0324949993826404</c:v>
                </c:pt>
                <c:pt idx="910">
                  <c:v>-8.044807835197032</c:v>
                </c:pt>
                <c:pt idx="911">
                  <c:v>-8.0571206969949021</c:v>
                </c:pt>
                <c:pt idx="912">
                  <c:v>-8.0694335847758634</c:v>
                </c:pt>
                <c:pt idx="913">
                  <c:v>-8.0817464985395269</c:v>
                </c:pt>
                <c:pt idx="914">
                  <c:v>-8.0940594382855071</c:v>
                </c:pt>
                <c:pt idx="915">
                  <c:v>-8.1063724040134151</c:v>
                </c:pt>
                <c:pt idx="916">
                  <c:v>-8.1186853957228653</c:v>
                </c:pt>
                <c:pt idx="917">
                  <c:v>-8.1309984134134705</c:v>
                </c:pt>
                <c:pt idx="918">
                  <c:v>-8.1433114570848417</c:v>
                </c:pt>
                <c:pt idx="919">
                  <c:v>-8.1556245267365934</c:v>
                </c:pt>
                <c:pt idx="920">
                  <c:v>-8.1679376223683366</c:v>
                </c:pt>
                <c:pt idx="921">
                  <c:v>-8.1802507439796859</c:v>
                </c:pt>
                <c:pt idx="922">
                  <c:v>-8.1925638915702539</c:v>
                </c:pt>
                <c:pt idx="923">
                  <c:v>-8.2048770651396516</c:v>
                </c:pt>
                <c:pt idx="924">
                  <c:v>-8.2171902646874937</c:v>
                </c:pt>
                <c:pt idx="925">
                  <c:v>-8.2295034902133928</c:v>
                </c:pt>
                <c:pt idx="926">
                  <c:v>-8.2418167417169599</c:v>
                </c:pt>
                <c:pt idx="927">
                  <c:v>-8.2541300191978095</c:v>
                </c:pt>
                <c:pt idx="928">
                  <c:v>-8.2664433226555545</c:v>
                </c:pt>
                <c:pt idx="929">
                  <c:v>-8.2787566520898057</c:v>
                </c:pt>
                <c:pt idx="930">
                  <c:v>-8.2910700075001778</c:v>
                </c:pt>
                <c:pt idx="931">
                  <c:v>-8.3033833888862834</c:v>
                </c:pt>
                <c:pt idx="932">
                  <c:v>-8.3156967962477353</c:v>
                </c:pt>
                <c:pt idx="933">
                  <c:v>-8.3280102295841463</c:v>
                </c:pt>
                <c:pt idx="934">
                  <c:v>-8.3403236888951291</c:v>
                </c:pt>
                <c:pt idx="935">
                  <c:v>-8.3526371741802947</c:v>
                </c:pt>
                <c:pt idx="936">
                  <c:v>-8.3649506854392577</c:v>
                </c:pt>
                <c:pt idx="937">
                  <c:v>-8.3772642226716307</c:v>
                </c:pt>
                <c:pt idx="938">
                  <c:v>-8.3895777858770266</c:v>
                </c:pt>
                <c:pt idx="939">
                  <c:v>-8.4018913750550581</c:v>
                </c:pt>
                <c:pt idx="940">
                  <c:v>-8.4142049902053397</c:v>
                </c:pt>
                <c:pt idx="941">
                  <c:v>-8.4265186313274825</c:v>
                </c:pt>
                <c:pt idx="942">
                  <c:v>-8.4388322984210991</c:v>
                </c:pt>
                <c:pt idx="943">
                  <c:v>-8.4511459914858023</c:v>
                </c:pt>
                <c:pt idx="944">
                  <c:v>-8.4634597105212048</c:v>
                </c:pt>
                <c:pt idx="945">
                  <c:v>-8.4757734555269213</c:v>
                </c:pt>
                <c:pt idx="946">
                  <c:v>-8.4880872265025626</c:v>
                </c:pt>
                <c:pt idx="947">
                  <c:v>-8.5004010234477434</c:v>
                </c:pt>
                <c:pt idx="948">
                  <c:v>-8.5127148463620745</c:v>
                </c:pt>
                <c:pt idx="949">
                  <c:v>-8.5250286952451706</c:v>
                </c:pt>
                <c:pt idx="950">
                  <c:v>-8.5373425700966425</c:v>
                </c:pt>
                <c:pt idx="951">
                  <c:v>-8.5496564709161049</c:v>
                </c:pt>
                <c:pt idx="952">
                  <c:v>-8.5619703977031705</c:v>
                </c:pt>
                <c:pt idx="953">
                  <c:v>-8.5742843504574502</c:v>
                </c:pt>
                <c:pt idx="954">
                  <c:v>-8.5865983291785586</c:v>
                </c:pt>
                <c:pt idx="955">
                  <c:v>-8.5989123338661084</c:v>
                </c:pt>
                <c:pt idx="956">
                  <c:v>-8.6112263645197125</c:v>
                </c:pt>
                <c:pt idx="957">
                  <c:v>-8.6235404211389834</c:v>
                </c:pt>
                <c:pt idx="958">
                  <c:v>-8.6358545037235341</c:v>
                </c:pt>
                <c:pt idx="959">
                  <c:v>-8.6481686122729773</c:v>
                </c:pt>
                <c:pt idx="960">
                  <c:v>-8.6604827467869274</c:v>
                </c:pt>
                <c:pt idx="961">
                  <c:v>-8.6727969072649955</c:v>
                </c:pt>
                <c:pt idx="962">
                  <c:v>-8.6851110937067943</c:v>
                </c:pt>
                <c:pt idx="963">
                  <c:v>-8.6974253061119384</c:v>
                </c:pt>
                <c:pt idx="964">
                  <c:v>-8.7097395444800387</c:v>
                </c:pt>
                <c:pt idx="965">
                  <c:v>-8.7220538088107098</c:v>
                </c:pt>
                <c:pt idx="966">
                  <c:v>-8.7343680991035644</c:v>
                </c:pt>
                <c:pt idx="967">
                  <c:v>-8.7466824153582134</c:v>
                </c:pt>
                <c:pt idx="968">
                  <c:v>-8.7589967575742715</c:v>
                </c:pt>
                <c:pt idx="969">
                  <c:v>-8.7713111257513514</c:v>
                </c:pt>
                <c:pt idx="970">
                  <c:v>-8.7836255198890658</c:v>
                </c:pt>
                <c:pt idx="971">
                  <c:v>-8.7959399399870275</c:v>
                </c:pt>
                <c:pt idx="972">
                  <c:v>-8.8082543860448492</c:v>
                </c:pt>
                <c:pt idx="973">
                  <c:v>-8.8205688580621455</c:v>
                </c:pt>
                <c:pt idx="974">
                  <c:v>-8.8328833560385274</c:v>
                </c:pt>
                <c:pt idx="975">
                  <c:v>-8.8451978799736093</c:v>
                </c:pt>
                <c:pt idx="976">
                  <c:v>-8.8575124298670023</c:v>
                </c:pt>
                <c:pt idx="977">
                  <c:v>-8.8698270057183208</c:v>
                </c:pt>
                <c:pt idx="978">
                  <c:v>-8.8821416075271777</c:v>
                </c:pt>
                <c:pt idx="979">
                  <c:v>-8.8944562352931857</c:v>
                </c:pt>
                <c:pt idx="980">
                  <c:v>-8.9067708890159576</c:v>
                </c:pt>
                <c:pt idx="981">
                  <c:v>-8.919085568695106</c:v>
                </c:pt>
                <c:pt idx="982">
                  <c:v>-8.9314002743302439</c:v>
                </c:pt>
                <c:pt idx="983">
                  <c:v>-8.9437150059209838</c:v>
                </c:pt>
                <c:pt idx="984">
                  <c:v>-8.9560297634669404</c:v>
                </c:pt>
                <c:pt idx="985">
                  <c:v>-8.9683445469677245</c:v>
                </c:pt>
                <c:pt idx="986">
                  <c:v>-8.9806593564229509</c:v>
                </c:pt>
                <c:pt idx="987">
                  <c:v>-8.9929741918322321</c:v>
                </c:pt>
                <c:pt idx="988">
                  <c:v>-9.005289053195181</c:v>
                </c:pt>
                <c:pt idx="989">
                  <c:v>-9.0176039405114103</c:v>
                </c:pt>
                <c:pt idx="990">
                  <c:v>-9.0299188537805328</c:v>
                </c:pt>
                <c:pt idx="991">
                  <c:v>-9.0422337930021612</c:v>
                </c:pt>
                <c:pt idx="992">
                  <c:v>-9.0545487581759083</c:v>
                </c:pt>
                <c:pt idx="993">
                  <c:v>-9.0668637493013886</c:v>
                </c:pt>
                <c:pt idx="994">
                  <c:v>-9.0791787663782131</c:v>
                </c:pt>
                <c:pt idx="995">
                  <c:v>-9.0914938094059963</c:v>
                </c:pt>
                <c:pt idx="996">
                  <c:v>-9.1038088783843509</c:v>
                </c:pt>
                <c:pt idx="997">
                  <c:v>-9.1161239733128898</c:v>
                </c:pt>
                <c:pt idx="998">
                  <c:v>-9.1284390941912257</c:v>
                </c:pt>
                <c:pt idx="999">
                  <c:v>-9.1407542410189713</c:v>
                </c:pt>
                <c:pt idx="1000">
                  <c:v>-9.1530694137957411</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35"/>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2195"/>
</file>

<file path=xl/ctrlProps/ctrlProp12.xml><?xml version="1.0" encoding="utf-8"?>
<formControlPr xmlns="http://schemas.microsoft.com/office/spreadsheetml/2009/9/main" objectType="Spin" dx="15" fmlaLink="$C$12" inc="100" max="30000" noThreeD="1" page="10" val="7400"/>
</file>

<file path=xl/ctrlProps/ctrlProp13.xml><?xml version="1.0" encoding="utf-8"?>
<formControlPr xmlns="http://schemas.microsoft.com/office/spreadsheetml/2009/9/main" objectType="Spin" dx="15" fmlaLink="$C$12" inc="100" max="30000" noThreeD="1" page="10" val="7400"/>
</file>

<file path=xl/ctrlProps/ctrlProp14.xml><?xml version="1.0" encoding="utf-8"?>
<formControlPr xmlns="http://schemas.microsoft.com/office/spreadsheetml/2009/9/main" objectType="Spin" dx="15" fmlaLink="Stabilito!C12" inc="100" max="30000" noThreeD="1" page="10" val="7400"/>
</file>

<file path=xl/ctrlProps/ctrlProp15.xml><?xml version="1.0" encoding="utf-8"?>
<formControlPr xmlns="http://schemas.microsoft.com/office/spreadsheetml/2009/9/main" objectType="Spin" dx="15" fmlaLink="$B$44" inc="50" max="30000" noThreeD="1" page="10" val="249"/>
</file>

<file path=xl/ctrlProps/ctrlProp16.xml><?xml version="1.0" encoding="utf-8"?>
<formControlPr xmlns="http://schemas.microsoft.com/office/spreadsheetml/2009/9/main" objectType="Spin" dx="15" fmlaLink="$B$46" inc="50" max="30000" noThreeD="1" page="10" val="199"/>
</file>

<file path=xl/ctrlProps/ctrlProp17.xml><?xml version="1.0" encoding="utf-8"?>
<formControlPr xmlns="http://schemas.microsoft.com/office/spreadsheetml/2009/9/main" objectType="Spin" dx="15" fmlaLink="$B$52" inc="50" max="30000" noThreeD="1" page="10" val="800"/>
</file>

<file path=xl/ctrlProps/ctrlProp18.xml><?xml version="1.0" encoding="utf-8"?>
<formControlPr xmlns="http://schemas.microsoft.com/office/spreadsheetml/2009/9/main" objectType="Spin" dx="15" fmlaLink="$B$54" inc="5" max="30000" noThreeD="1" page="10" val="75"/>
</file>

<file path=xl/ctrlProps/ctrlProp19.xml><?xml version="1.0" encoding="utf-8"?>
<formControlPr xmlns="http://schemas.microsoft.com/office/spreadsheetml/2009/9/main" objectType="Spin" dx="15" fmlaLink="Stabilito!C12" inc="100" max="30000" noThreeD="1" page="10" val="7400"/>
</file>

<file path=xl/ctrlProps/ctrlProp2.xml><?xml version="1.0" encoding="utf-8"?>
<formControlPr xmlns="http://schemas.microsoft.com/office/spreadsheetml/2009/9/main" objectType="Spin" dx="15" fmlaLink="$C$12" inc="100" max="30000" noThreeD="1" page="10" val="7400"/>
</file>

<file path=xl/ctrlProps/ctrlProp20.xml><?xml version="1.0" encoding="utf-8"?>
<formControlPr xmlns="http://schemas.microsoft.com/office/spreadsheetml/2009/9/main" objectType="Spin" dx="15" fmlaLink="Stabilito!C12" inc="100" max="30000" noThreeD="1" page="10" val="7400"/>
</file>

<file path=xl/ctrlProps/ctrlProp3.xml><?xml version="1.0" encoding="utf-8"?>
<formControlPr xmlns="http://schemas.microsoft.com/office/spreadsheetml/2009/9/main" objectType="Spin" dx="15" fmlaLink="$C$13" inc="50" max="30000" noThreeD="1" page="10" val="1215"/>
</file>

<file path=xl/ctrlProps/ctrlProp4.xml><?xml version="1.0" encoding="utf-8"?>
<formControlPr xmlns="http://schemas.microsoft.com/office/spreadsheetml/2009/9/main" objectType="Spin" dx="15" fmlaLink="$C$24" inc="20" max="30000" noThreeD="1" page="10" val="90"/>
</file>

<file path=xl/ctrlProps/ctrlProp5.xml><?xml version="1.0" encoding="utf-8"?>
<formControlPr xmlns="http://schemas.microsoft.com/office/spreadsheetml/2009/9/main" objectType="Spin" dx="15" fmlaLink="$C$28" inc="10" max="30000" noThreeD="1" page="10" val="290"/>
</file>

<file path=xl/ctrlProps/ctrlProp6.xml><?xml version="1.0" encoding="utf-8"?>
<formControlPr xmlns="http://schemas.microsoft.com/office/spreadsheetml/2009/9/main" objectType="Spin" dx="15" fmlaLink="$C$29" inc="10" max="30000" noThreeD="1" page="10" val="150"/>
</file>

<file path=xl/ctrlProps/ctrlProp7.xml><?xml version="1.0" encoding="utf-8"?>
<formControlPr xmlns="http://schemas.microsoft.com/office/spreadsheetml/2009/9/main" objectType="Spin" dx="15" fmlaLink="$C$30" inc="10" max="30000" noThreeD="1" page="10" val="70"/>
</file>

<file path=xl/ctrlProps/ctrlProp8.xml><?xml version="1.0" encoding="utf-8"?>
<formControlPr xmlns="http://schemas.microsoft.com/office/spreadsheetml/2009/9/main" objectType="Spin" dx="15" fmlaLink="$C$31" inc="10" max="30000" noThreeD="1" page="10" val="128"/>
</file>

<file path=xl/ctrlProps/ctrlProp9.xml><?xml version="1.0" encoding="utf-8"?>
<formControlPr xmlns="http://schemas.microsoft.com/office/spreadsheetml/2009/9/main" objectType="Spin" dx="15" fmlaLink="$C$32" max="30000" noThreeD="1" page="10" val="2"/>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814129" y="183243"/>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2</xdr:col>
      <xdr:colOff>858520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751114</xdr:colOff>
          <xdr:row>22</xdr:row>
          <xdr:rowOff>0</xdr:rowOff>
        </xdr:from>
        <xdr:to>
          <xdr:col>3</xdr:col>
          <xdr:colOff>898071</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751114</xdr:colOff>
          <xdr:row>11</xdr:row>
          <xdr:rowOff>0</xdr:rowOff>
        </xdr:from>
        <xdr:to>
          <xdr:col>2</xdr:col>
          <xdr:colOff>898071</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751114</xdr:colOff>
          <xdr:row>12</xdr:row>
          <xdr:rowOff>0</xdr:rowOff>
        </xdr:from>
        <xdr:to>
          <xdr:col>2</xdr:col>
          <xdr:colOff>898071</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751114</xdr:colOff>
          <xdr:row>22</xdr:row>
          <xdr:rowOff>157843</xdr:rowOff>
        </xdr:from>
        <xdr:to>
          <xdr:col>3</xdr:col>
          <xdr:colOff>898071</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27</xdr:row>
          <xdr:rowOff>0</xdr:rowOff>
        </xdr:from>
        <xdr:to>
          <xdr:col>3</xdr:col>
          <xdr:colOff>0</xdr:colOff>
          <xdr:row>28</xdr:row>
          <xdr:rowOff>5443</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28</xdr:row>
          <xdr:rowOff>0</xdr:rowOff>
        </xdr:from>
        <xdr:to>
          <xdr:col>3</xdr:col>
          <xdr:colOff>0</xdr:colOff>
          <xdr:row>29</xdr:row>
          <xdr:rowOff>5443</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28</xdr:row>
          <xdr:rowOff>163286</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30</xdr:row>
          <xdr:rowOff>0</xdr:rowOff>
        </xdr:from>
        <xdr:to>
          <xdr:col>3</xdr:col>
          <xdr:colOff>0</xdr:colOff>
          <xdr:row>30</xdr:row>
          <xdr:rowOff>157843</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31</xdr:row>
          <xdr:rowOff>0</xdr:rowOff>
        </xdr:from>
        <xdr:to>
          <xdr:col>2</xdr:col>
          <xdr:colOff>898071</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756557</xdr:colOff>
          <xdr:row>12</xdr:row>
          <xdr:rowOff>157843</xdr:rowOff>
        </xdr:from>
        <xdr:to>
          <xdr:col>4</xdr:col>
          <xdr:colOff>0</xdr:colOff>
          <xdr:row>13</xdr:row>
          <xdr:rowOff>157843</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10886</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10886</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92777" y="7877868"/>
          <a:ext cx="1095578" cy="1022654"/>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157843</xdr:rowOff>
        </xdr:from>
        <xdr:to>
          <xdr:col>4</xdr:col>
          <xdr:colOff>0</xdr:colOff>
          <xdr:row>11</xdr:row>
          <xdr:rowOff>5443</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10886</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10886</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10886</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27214</xdr:colOff>
          <xdr:row>94</xdr:row>
          <xdr:rowOff>76200</xdr:rowOff>
        </xdr:from>
        <xdr:to>
          <xdr:col>3</xdr:col>
          <xdr:colOff>762000</xdr:colOff>
          <xdr:row>100</xdr:row>
          <xdr:rowOff>97971</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10886</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406465" y="6445250"/>
          <a:ext cx="1521791" cy="1142570"/>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10886</xdr:colOff>
          <xdr:row>1010</xdr:row>
          <xdr:rowOff>103414</xdr:rowOff>
        </xdr:from>
        <xdr:to>
          <xdr:col>20</xdr:col>
          <xdr:colOff>293914</xdr:colOff>
          <xdr:row>1013</xdr:row>
          <xdr:rowOff>27214</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27214</xdr:colOff>
          <xdr:row>1024</xdr:row>
          <xdr:rowOff>157843</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255814</xdr:colOff>
          <xdr:row>1006</xdr:row>
          <xdr:rowOff>27214</xdr:rowOff>
        </xdr:from>
        <xdr:to>
          <xdr:col>24</xdr:col>
          <xdr:colOff>152400</xdr:colOff>
          <xdr:row>1007</xdr:row>
          <xdr:rowOff>103414</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10886</xdr:colOff>
          <xdr:row>1017</xdr:row>
          <xdr:rowOff>163286</xdr:rowOff>
        </xdr:from>
        <xdr:to>
          <xdr:col>10</xdr:col>
          <xdr:colOff>582386</xdr:colOff>
          <xdr:row>1019</xdr:row>
          <xdr:rowOff>141514</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10886</xdr:colOff>
          <xdr:row>1014</xdr:row>
          <xdr:rowOff>179614</xdr:rowOff>
        </xdr:from>
        <xdr:to>
          <xdr:col>11</xdr:col>
          <xdr:colOff>266700</xdr:colOff>
          <xdr:row>1016</xdr:row>
          <xdr:rowOff>70757</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10886</xdr:colOff>
          <xdr:row>1016</xdr:row>
          <xdr:rowOff>76200</xdr:rowOff>
        </xdr:from>
        <xdr:to>
          <xdr:col>11</xdr:col>
          <xdr:colOff>234043</xdr:colOff>
          <xdr:row>1017</xdr:row>
          <xdr:rowOff>157843</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70757</xdr:rowOff>
        </xdr:from>
        <xdr:to>
          <xdr:col>17</xdr:col>
          <xdr:colOff>272143</xdr:colOff>
          <xdr:row>1024</xdr:row>
          <xdr:rowOff>163286</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234043</xdr:colOff>
          <xdr:row>1010</xdr:row>
          <xdr:rowOff>87086</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103414</xdr:rowOff>
        </xdr:from>
        <xdr:to>
          <xdr:col>12</xdr:col>
          <xdr:colOff>239486</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10886</xdr:colOff>
          <xdr:row>1006</xdr:row>
          <xdr:rowOff>103414</xdr:rowOff>
        </xdr:from>
        <xdr:to>
          <xdr:col>3</xdr:col>
          <xdr:colOff>538843</xdr:colOff>
          <xdr:row>1007</xdr:row>
          <xdr:rowOff>179614</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179614</xdr:rowOff>
        </xdr:from>
        <xdr:to>
          <xdr:col>16</xdr:col>
          <xdr:colOff>0</xdr:colOff>
          <xdr:row>1026</xdr:row>
          <xdr:rowOff>146957</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10886</xdr:colOff>
          <xdr:row>1013</xdr:row>
          <xdr:rowOff>32657</xdr:rowOff>
        </xdr:from>
        <xdr:to>
          <xdr:col>21</xdr:col>
          <xdr:colOff>27214</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10886</xdr:colOff>
          <xdr:row>1005</xdr:row>
          <xdr:rowOff>10886</xdr:rowOff>
        </xdr:from>
        <xdr:to>
          <xdr:col>10</xdr:col>
          <xdr:colOff>408214</xdr:colOff>
          <xdr:row>1006</xdr:row>
          <xdr:rowOff>87086</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10886</xdr:rowOff>
        </xdr:from>
        <xdr:to>
          <xdr:col>8</xdr:col>
          <xdr:colOff>190500</xdr:colOff>
          <xdr:row>1014</xdr:row>
          <xdr:rowOff>163286</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10886</xdr:colOff>
          <xdr:row>1018</xdr:row>
          <xdr:rowOff>48986</xdr:rowOff>
        </xdr:from>
        <xdr:to>
          <xdr:col>24</xdr:col>
          <xdr:colOff>1077686</xdr:colOff>
          <xdr:row>1019</xdr:row>
          <xdr:rowOff>141514</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146957</xdr:rowOff>
        </xdr:from>
        <xdr:to>
          <xdr:col>20</xdr:col>
          <xdr:colOff>576943</xdr:colOff>
          <xdr:row>1022</xdr:row>
          <xdr:rowOff>48986</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48986</xdr:rowOff>
        </xdr:from>
        <xdr:to>
          <xdr:col>19</xdr:col>
          <xdr:colOff>185057</xdr:colOff>
          <xdr:row>1019</xdr:row>
          <xdr:rowOff>141514</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10886</xdr:colOff>
          <xdr:row>1007</xdr:row>
          <xdr:rowOff>119743</xdr:rowOff>
        </xdr:from>
        <xdr:to>
          <xdr:col>37</xdr:col>
          <xdr:colOff>277586</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10886</xdr:colOff>
          <xdr:row>1010</xdr:row>
          <xdr:rowOff>87086</xdr:rowOff>
        </xdr:from>
        <xdr:to>
          <xdr:col>35</xdr:col>
          <xdr:colOff>723900</xdr:colOff>
          <xdr:row>1013</xdr:row>
          <xdr:rowOff>43543</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27214</xdr:rowOff>
        </xdr:from>
        <xdr:to>
          <xdr:col>11</xdr:col>
          <xdr:colOff>560614</xdr:colOff>
          <xdr:row>1038</xdr:row>
          <xdr:rowOff>27214</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27214</xdr:rowOff>
        </xdr:from>
        <xdr:to>
          <xdr:col>12</xdr:col>
          <xdr:colOff>32657</xdr:colOff>
          <xdr:row>1043</xdr:row>
          <xdr:rowOff>27214</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10886</xdr:colOff>
          <xdr:row>1014</xdr:row>
          <xdr:rowOff>119743</xdr:rowOff>
        </xdr:from>
        <xdr:to>
          <xdr:col>20</xdr:col>
          <xdr:colOff>337457</xdr:colOff>
          <xdr:row>1016</xdr:row>
          <xdr:rowOff>10886</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255814</xdr:colOff>
          <xdr:row>1007</xdr:row>
          <xdr:rowOff>114300</xdr:rowOff>
        </xdr:from>
        <xdr:to>
          <xdr:col>32</xdr:col>
          <xdr:colOff>163286</xdr:colOff>
          <xdr:row>1010</xdr:row>
          <xdr:rowOff>87086</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32657</xdr:rowOff>
        </xdr:from>
        <xdr:to>
          <xdr:col>12</xdr:col>
          <xdr:colOff>337457</xdr:colOff>
          <xdr:row>1058</xdr:row>
          <xdr:rowOff>48986</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32657</xdr:rowOff>
        </xdr:from>
        <xdr:to>
          <xdr:col>15</xdr:col>
          <xdr:colOff>48986</xdr:colOff>
          <xdr:row>1063</xdr:row>
          <xdr:rowOff>48986</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32657</xdr:rowOff>
        </xdr:from>
        <xdr:to>
          <xdr:col>16</xdr:col>
          <xdr:colOff>674914</xdr:colOff>
          <xdr:row>1068</xdr:row>
          <xdr:rowOff>48986</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32657</xdr:rowOff>
        </xdr:from>
        <xdr:to>
          <xdr:col>16</xdr:col>
          <xdr:colOff>108857</xdr:colOff>
          <xdr:row>1048</xdr:row>
          <xdr:rowOff>32657</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32657</xdr:rowOff>
        </xdr:from>
        <xdr:to>
          <xdr:col>16</xdr:col>
          <xdr:colOff>386443</xdr:colOff>
          <xdr:row>1053</xdr:row>
          <xdr:rowOff>48986</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32657</xdr:rowOff>
        </xdr:from>
        <xdr:to>
          <xdr:col>12</xdr:col>
          <xdr:colOff>413657</xdr:colOff>
          <xdr:row>1073</xdr:row>
          <xdr:rowOff>48986</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32657</xdr:rowOff>
        </xdr:from>
        <xdr:to>
          <xdr:col>32</xdr:col>
          <xdr:colOff>419100</xdr:colOff>
          <xdr:row>1056</xdr:row>
          <xdr:rowOff>32657</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27214</xdr:colOff>
          <xdr:row>1022</xdr:row>
          <xdr:rowOff>48986</xdr:rowOff>
        </xdr:from>
        <xdr:to>
          <xdr:col>32</xdr:col>
          <xdr:colOff>266700</xdr:colOff>
          <xdr:row>1024</xdr:row>
          <xdr:rowOff>141514</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27214</xdr:rowOff>
        </xdr:from>
        <xdr:to>
          <xdr:col>36</xdr:col>
          <xdr:colOff>163286</xdr:colOff>
          <xdr:row>1020</xdr:row>
          <xdr:rowOff>27214</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696686</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43543</xdr:rowOff>
        </xdr:from>
        <xdr:to>
          <xdr:col>35</xdr:col>
          <xdr:colOff>141514</xdr:colOff>
          <xdr:row>1023</xdr:row>
          <xdr:rowOff>43543</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70757</xdr:rowOff>
        </xdr:from>
        <xdr:to>
          <xdr:col>36</xdr:col>
          <xdr:colOff>48986</xdr:colOff>
          <xdr:row>1026</xdr:row>
          <xdr:rowOff>70757</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32657</xdr:rowOff>
        </xdr:from>
        <xdr:to>
          <xdr:col>34</xdr:col>
          <xdr:colOff>348343</xdr:colOff>
          <xdr:row>1051</xdr:row>
          <xdr:rowOff>87086</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653143</xdr:colOff>
          <xdr:row>9</xdr:row>
          <xdr:rowOff>195943</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386443</xdr:colOff>
          <xdr:row>70</xdr:row>
          <xdr:rowOff>27214</xdr:rowOff>
        </xdr:from>
        <xdr:to>
          <xdr:col>12</xdr:col>
          <xdr:colOff>903514</xdr:colOff>
          <xdr:row>87</xdr:row>
          <xdr:rowOff>10886</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653143</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396921" y="12830629"/>
          <a:ext cx="2297793" cy="3622221"/>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3813064" y="175986"/>
          <a:ext cx="2216150" cy="497658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topLeftCell="B2" zoomScaleNormal="100" zoomScaleSheetLayoutView="100" workbookViewId="0">
      <selection activeCell="N10" sqref="N10"/>
    </sheetView>
  </sheetViews>
  <sheetFormatPr defaultColWidth="11.3828125" defaultRowHeight="12.45" x14ac:dyDescent="0.3"/>
  <cols>
    <col min="1" max="1" width="2.15234375" style="24" customWidth="1"/>
    <col min="2" max="2" width="16.15234375" style="24" customWidth="1"/>
    <col min="3" max="3" width="12.84375" style="31" customWidth="1"/>
    <col min="4" max="4" width="12.84375" style="24" customWidth="1"/>
    <col min="5" max="5" width="4.15234375" style="89" customWidth="1"/>
    <col min="6" max="6" width="10.15234375" style="26" bestFit="1" customWidth="1"/>
    <col min="7" max="7" width="10" style="26" bestFit="1" customWidth="1"/>
    <col min="8" max="9" width="8.61328125" style="26" customWidth="1"/>
    <col min="10" max="10" width="5.3828125" style="24" customWidth="1"/>
    <col min="11" max="11" width="2.15234375" style="24" customWidth="1"/>
    <col min="12" max="12" width="17" style="24" customWidth="1"/>
    <col min="13" max="13" width="8.61328125" style="24" customWidth="1"/>
    <col min="14" max="15" width="4.15234375" style="24" customWidth="1"/>
    <col min="16" max="16" width="8.61328125" style="24" customWidth="1"/>
    <col min="17" max="18" width="2.15234375" style="24" customWidth="1"/>
    <col min="19" max="16384" width="11.3828125" style="24"/>
  </cols>
  <sheetData>
    <row r="1" spans="1:20" ht="12.75" customHeight="1" x14ac:dyDescent="0.3">
      <c r="A1" s="19"/>
      <c r="B1" s="20"/>
      <c r="C1" s="21"/>
      <c r="D1" s="20"/>
      <c r="E1" s="88"/>
      <c r="F1" s="22"/>
      <c r="G1" s="22"/>
      <c r="H1" s="22"/>
      <c r="I1" s="22"/>
      <c r="J1" s="20"/>
      <c r="K1" s="20"/>
      <c r="L1" s="20"/>
      <c r="M1" s="20"/>
      <c r="N1" s="20"/>
      <c r="O1" s="20"/>
      <c r="P1" s="20"/>
      <c r="Q1" s="23"/>
    </row>
    <row r="2" spans="1:20" ht="12.75" customHeight="1" x14ac:dyDescent="0.3">
      <c r="A2" s="25"/>
      <c r="C2" s="568" t="s">
        <v>53</v>
      </c>
      <c r="D2" s="568"/>
      <c r="L2" s="147" t="str">
        <f>"Language/Langue"</f>
        <v>Language/Langue</v>
      </c>
      <c r="M2" s="544" t="s">
        <v>1</v>
      </c>
      <c r="N2" s="544"/>
      <c r="O2" s="544"/>
      <c r="P2" s="545"/>
      <c r="Q2" s="27"/>
    </row>
    <row r="3" spans="1:20" ht="12.75" customHeight="1" x14ac:dyDescent="0.3">
      <c r="A3" s="25"/>
      <c r="C3" s="568"/>
      <c r="D3" s="568"/>
      <c r="L3" s="555"/>
      <c r="M3" s="555"/>
      <c r="N3" s="45"/>
      <c r="Q3" s="27"/>
    </row>
    <row r="4" spans="1:20" ht="12.75" customHeight="1" x14ac:dyDescent="0.3">
      <c r="A4" s="25"/>
      <c r="C4" s="569" t="str">
        <f>IF(Lang="Français","Stabilité de fusée à ailerons",IF(Lang="English","Stability for rocket with fins",""))</f>
        <v>Stabilité de fusée à ailerons</v>
      </c>
      <c r="D4" s="569"/>
      <c r="L4" s="33"/>
      <c r="M4" s="544" t="s">
        <v>570</v>
      </c>
      <c r="N4" s="544"/>
      <c r="O4" s="544"/>
      <c r="P4" s="545"/>
      <c r="Q4" s="27"/>
    </row>
    <row r="5" spans="1:20" ht="12.75" customHeight="1" x14ac:dyDescent="0.35">
      <c r="A5" s="25"/>
      <c r="B5" s="28"/>
      <c r="C5" s="583"/>
      <c r="D5" s="583"/>
      <c r="L5" s="33"/>
      <c r="M5" s="575" t="s">
        <v>156</v>
      </c>
      <c r="N5" s="576"/>
      <c r="O5" s="558" t="s">
        <v>157</v>
      </c>
      <c r="P5" s="558"/>
      <c r="Q5" s="29"/>
    </row>
    <row r="6" spans="1:20" ht="12.75" customHeight="1" thickBot="1" x14ac:dyDescent="0.35">
      <c r="A6" s="25"/>
      <c r="B6" s="87"/>
      <c r="C6" s="593" t="str">
        <f>IF(Lang="Français","Remplir les cases jaunes",IF(Lang="English","Fill-in yellow cells only",""))</f>
        <v>Remplir les cases jaunes</v>
      </c>
      <c r="D6" s="593"/>
      <c r="L6" s="139" t="str">
        <f>IF(Lang="Français","Longueur      'L'",IF(Lang="English","Length      'L'",""))</f>
        <v>Longueur      'L'</v>
      </c>
      <c r="M6" s="564">
        <v>150</v>
      </c>
      <c r="N6" s="565"/>
      <c r="O6" s="550">
        <v>50</v>
      </c>
      <c r="P6" s="550"/>
      <c r="Q6" s="29"/>
    </row>
    <row r="7" spans="1:20" ht="12.75" customHeight="1" thickTop="1" thickBot="1" x14ac:dyDescent="0.35">
      <c r="A7" s="25"/>
      <c r="B7" s="31"/>
      <c r="C7" s="571" t="str">
        <f>IF(Lang="Français","Fusée",IF(Lang="English","Rocket",""))</f>
        <v>Fusée</v>
      </c>
      <c r="D7" s="572"/>
      <c r="L7" s="139" t="str">
        <f>IF(Lang="Français","Diamètre     'D1'",IF(Lang="English","Diameter 'D1'",""))</f>
        <v>Diamètre     'D1'</v>
      </c>
      <c r="M7" s="564">
        <f>D_og</f>
        <v>90</v>
      </c>
      <c r="N7" s="565"/>
      <c r="O7" s="550">
        <f>D2j</f>
        <v>100</v>
      </c>
      <c r="P7" s="550"/>
      <c r="Q7" s="29"/>
    </row>
    <row r="8" spans="1:20" ht="12.75" customHeight="1" thickTop="1" x14ac:dyDescent="0.3">
      <c r="A8" s="25"/>
      <c r="B8" s="138" t="str">
        <f>IF(Lang="Français","Nom",IF(Lang="English","Name",""))</f>
        <v>Nom</v>
      </c>
      <c r="C8" s="594" t="s">
        <v>566</v>
      </c>
      <c r="D8" s="594"/>
      <c r="E8" s="90"/>
      <c r="K8" s="33"/>
      <c r="L8" s="139" t="str">
        <f>IF(Lang="Français","Diamètre     'D2'",IF(Lang="English","Diameter 'D2'",""))</f>
        <v>Diamètre     'D2'</v>
      </c>
      <c r="M8" s="564">
        <v>100</v>
      </c>
      <c r="N8" s="565"/>
      <c r="O8" s="550">
        <v>100</v>
      </c>
      <c r="P8" s="550"/>
      <c r="Q8" s="29"/>
    </row>
    <row r="9" spans="1:20" ht="12.75" customHeight="1" x14ac:dyDescent="0.3">
      <c r="A9" s="25"/>
      <c r="B9" s="138" t="s">
        <v>4</v>
      </c>
      <c r="C9" s="595" t="s">
        <v>567</v>
      </c>
      <c r="D9" s="595"/>
      <c r="E9" s="90"/>
      <c r="K9" s="33"/>
      <c r="L9" s="139" t="str">
        <f>IF(Lang="Français","Implantation 'x'",IF(Lang="English","Basement 'x'",""))</f>
        <v>Implantation 'x'</v>
      </c>
      <c r="M9" s="564">
        <v>35</v>
      </c>
      <c r="N9" s="565"/>
      <c r="O9" s="550">
        <v>500</v>
      </c>
      <c r="P9" s="550"/>
      <c r="Q9" s="29"/>
    </row>
    <row r="10" spans="1:20" ht="12.75" customHeight="1" x14ac:dyDescent="0.3">
      <c r="A10" s="25"/>
      <c r="B10" s="138" t="s">
        <v>561</v>
      </c>
      <c r="C10" s="537" t="str">
        <f>IF((LEFT(Type_fusee,4)="Mini"),"MF",(IF((RIGHT(Type_fusee,1)="."),"FX","")))</f>
        <v>FX</v>
      </c>
      <c r="D10" s="538">
        <v>10</v>
      </c>
      <c r="E10" s="539" t="str">
        <f>IF(C10="","",C10&amp;D10)</f>
        <v>FX10</v>
      </c>
      <c r="K10" s="33"/>
      <c r="Q10" s="29"/>
    </row>
    <row r="11" spans="1:20" ht="12.75" customHeight="1" x14ac:dyDescent="0.3">
      <c r="A11" s="25"/>
      <c r="B11" s="139" t="s">
        <v>54</v>
      </c>
      <c r="C11" s="573" t="s">
        <v>568</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3">
      <c r="A12" s="25"/>
      <c r="B12" s="139" t="str">
        <f>IF(Lang="Français","Masse",IF(Lang="English","Weight",""))</f>
        <v>Masse</v>
      </c>
      <c r="C12" s="222">
        <v>7400</v>
      </c>
      <c r="D12" s="34" t="s">
        <v>421</v>
      </c>
      <c r="L12" s="108" t="str">
        <f>IF(Lang="Français","Masse propu",IF(Lang="English","Motor Mass",""))</f>
        <v>Masse propu</v>
      </c>
      <c r="M12" s="109">
        <f ca="1">MpropuPlein</f>
        <v>1.6319999999999999</v>
      </c>
      <c r="N12" s="548">
        <f ca="1">MpropuVide</f>
        <v>0.65</v>
      </c>
      <c r="O12" s="549"/>
      <c r="P12" s="110" t="s">
        <v>14</v>
      </c>
      <c r="Q12" s="29"/>
      <c r="S12" s="386" t="str">
        <f>IF(Lang="Français","Haut",IF(Lang="English","Top",""))</f>
        <v>Haut</v>
      </c>
      <c r="T12" s="387">
        <f ca="1">XpropuRef-Long_propu</f>
        <v>1707</v>
      </c>
    </row>
    <row r="13" spans="1:20" ht="12.75" customHeight="1" x14ac:dyDescent="0.3">
      <c r="A13" s="25"/>
      <c r="B13" s="139" t="str">
        <f>IF(Lang="Français","Centre de Masse",IF(Lang="English","Center of Mass",""))</f>
        <v>Centre de Masse</v>
      </c>
      <c r="C13" s="35">
        <v>1215</v>
      </c>
      <c r="D13" s="34" t="s">
        <v>421</v>
      </c>
      <c r="L13" s="108" t="str">
        <f>IF(Lang="Français","CdM propu",IF(Lang="English","Motor CoM",""))</f>
        <v>CdM propu</v>
      </c>
      <c r="M13" s="111">
        <f ca="1">XpropuPlein</f>
        <v>250</v>
      </c>
      <c r="N13" s="546">
        <f ca="1">XpropuVide</f>
        <v>240</v>
      </c>
      <c r="O13" s="547"/>
      <c r="P13" s="110" t="s">
        <v>14</v>
      </c>
      <c r="Q13" s="29"/>
      <c r="S13" s="386" t="str">
        <f>IF(Lang="Français","Longueur",IF(Lang="English","Length",""))</f>
        <v>Longueur</v>
      </c>
      <c r="T13" s="387">
        <f ca="1">Long_propu</f>
        <v>488</v>
      </c>
    </row>
    <row r="14" spans="1:20" ht="12.55" customHeight="1" x14ac:dyDescent="0.3">
      <c r="A14" s="25"/>
      <c r="B14" s="139" t="str">
        <f>IF(Lang="Français","Longueur totale",IF(Lang="English","Total length",""))</f>
        <v>Longueur totale</v>
      </c>
      <c r="C14" s="564">
        <v>2195</v>
      </c>
      <c r="D14" s="565"/>
      <c r="L14" s="108" t="str">
        <f>IF(Lang="Français","Masse fusée",IF(Lang="English","Rocket Mass",""))</f>
        <v>Masse fusée</v>
      </c>
      <c r="M14" s="112">
        <f ca="1">MasseSans+MpropuPlein</f>
        <v>9.032</v>
      </c>
      <c r="N14" s="577">
        <f ca="1">MasseSans+MpropuVide</f>
        <v>8.0500000000000007</v>
      </c>
      <c r="O14" s="578"/>
      <c r="P14" s="109">
        <f>IF(OR(D12="sans propu",D12="without motor"),C12/1000,IF(OR(D12="avec propu vide",D12="with empty motor"),C12/1000-MpropuVide,IF(OR(D12="avec propu plein",D12="with loaded motor"),C12/1000-MpropuPlein,"Erreur")))</f>
        <v>7.4</v>
      </c>
      <c r="Q14" s="29"/>
      <c r="S14" s="386" t="str">
        <f>IF(Lang="Français","Bas",IF(Lang="English","Base",""))</f>
        <v>Bas</v>
      </c>
      <c r="T14" s="387">
        <f>XpropuRef</f>
        <v>2195</v>
      </c>
    </row>
    <row r="15" spans="1:20" ht="12.75" customHeight="1" x14ac:dyDescent="0.3">
      <c r="A15" s="25"/>
      <c r="B15" s="139" t="str">
        <f>IF(Lang="Français","Diamètre Réf.",IF(Lang="English","Ref. Diameter",""))</f>
        <v>Diamètre Réf.</v>
      </c>
      <c r="C15" s="564">
        <v>100</v>
      </c>
      <c r="D15" s="565"/>
      <c r="L15" s="175" t="str">
        <f>IF(Lang="Français","CdM fusée",IF(Lang="English","Rocket CoM",""))</f>
        <v>CdM fusée</v>
      </c>
      <c r="M15" s="176">
        <f ca="1">(XcgSans*MasseSans+(XpropuRef-Long_propu+XpropuPlein)*MpropuPlein)/MassePlein</f>
        <v>1349.0726306465899</v>
      </c>
      <c r="N15" s="579">
        <f ca="1">(XcgSans*MasseSans+(XpropuRef-Long_propu+XpropuVide)*MpropuVide)/MasseVide</f>
        <v>1274.1055900621116</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1215</v>
      </c>
      <c r="Q15" s="29"/>
    </row>
    <row r="16" spans="1:20" ht="12.75" customHeight="1" thickBot="1" x14ac:dyDescent="0.3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35">
      <c r="A17" s="25"/>
      <c r="C17" s="585" t="str">
        <f>IF(Lang="Français","Propulseur",IF(Lang="English","Motor",""))</f>
        <v>Propulseur</v>
      </c>
      <c r="D17" s="586"/>
      <c r="L17" s="114"/>
      <c r="M17" s="581" t="s">
        <v>55</v>
      </c>
      <c r="N17" s="582"/>
      <c r="O17" s="559" t="s">
        <v>65</v>
      </c>
      <c r="P17" s="559"/>
      <c r="Q17" s="29"/>
      <c r="S17" s="386" t="str">
        <f>IF(Lang="Français","Haut","Top")</f>
        <v>Haut</v>
      </c>
      <c r="T17" s="387">
        <f>X_ail-m_ail</f>
        <v>1895</v>
      </c>
    </row>
    <row r="18" spans="1:20" ht="12.75" customHeight="1" thickTop="1" x14ac:dyDescent="0.3">
      <c r="A18" s="25"/>
      <c r="B18" s="139" t="s">
        <v>54</v>
      </c>
      <c r="C18" s="587" t="s">
        <v>550</v>
      </c>
      <c r="D18" s="588"/>
      <c r="K18" s="37"/>
      <c r="L18" s="108" t="str">
        <f>IF(Lang="Français","Coiffe",IF(Lang="English","Nose Cone",""))</f>
        <v>Coiffe</v>
      </c>
      <c r="M18" s="553">
        <f>IF(LEFT(Forme_ogive,5)="Parab",1/2*Long_ogive,IF(LEFT(Forme_ogive,4)="Ogiv",7/15*Long_ogive,IF(LEFT(Forme_ogive,3)="Con",2/3*Long_ogive)))</f>
        <v>17.5</v>
      </c>
      <c r="N18" s="554"/>
      <c r="O18" s="560">
        <f>2*POWER(D_og/D_ref, 2)</f>
        <v>1.62</v>
      </c>
      <c r="P18" s="560"/>
      <c r="Q18" s="29"/>
      <c r="S18" s="386" t="str">
        <f>IF(Lang="Français","Emplanture","Root edge")</f>
        <v>Emplanture</v>
      </c>
      <c r="T18" s="387">
        <f>m_ail</f>
        <v>290</v>
      </c>
    </row>
    <row r="19" spans="1:20" ht="12.75" customHeight="1" x14ac:dyDescent="0.3">
      <c r="A19" s="25"/>
      <c r="B19" s="139" t="str">
        <f>IF(Lang="Français","Position du bas",IF(Lang="English","Basement",""))</f>
        <v>Position du bas</v>
      </c>
      <c r="C19" s="550">
        <v>2195</v>
      </c>
      <c r="D19" s="550"/>
      <c r="L19" s="108" t="str">
        <f>IF(Lang="Français","Ailerons",IF(Lang="English","Fins",""))</f>
        <v>Ailerons</v>
      </c>
      <c r="M19" s="553">
        <f>(XCpa*Cnail-0.5*XCpi*Cni)/Cnai</f>
        <v>1983.1439393939393</v>
      </c>
      <c r="N19" s="554"/>
      <c r="O19" s="589">
        <f>Cnail-Cni/2</f>
        <v>15.567415172291732</v>
      </c>
      <c r="P19" s="590"/>
      <c r="Q19" s="29"/>
      <c r="S19" s="386" t="str">
        <f>IF(Lang="Français","Bas","Base")</f>
        <v>Bas</v>
      </c>
      <c r="T19" s="387">
        <f>X_ail</f>
        <v>2185</v>
      </c>
    </row>
    <row r="20" spans="1:20" ht="12.75" customHeight="1" thickBot="1" x14ac:dyDescent="0.3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1983.1439393939393</v>
      </c>
      <c r="N20" s="554"/>
      <c r="O20" s="560">
        <f>4*Q_ail*POWER((E_ail/D_ref),2)*(1+D_ail/(2*E_ail+D_ail))/(1+SQRT(1+POWER(2*f_ail/(m_ail+n_ail),2)))</f>
        <v>15.567415172291732</v>
      </c>
      <c r="P20" s="560"/>
      <c r="Q20" s="29"/>
    </row>
    <row r="21" spans="1:20" ht="12.75" customHeight="1" thickTop="1" thickBot="1" x14ac:dyDescent="0.3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0</v>
      </c>
      <c r="N21" s="554"/>
      <c r="O21" s="560">
        <f>IF(LEFT(Type_masquage,1)="M",0, 4*Q_can*POWER((E_can/D_ref),2)*(1+D_can/(2*E_can+D_can))/(1+SQRT(1+POWER(2*f_can/(m_can+n_can),2))))</f>
        <v>0</v>
      </c>
      <c r="P21" s="560"/>
      <c r="Q21" s="29"/>
    </row>
    <row r="22" spans="1:20" ht="12.75" customHeight="1" thickTop="1" x14ac:dyDescent="0.3">
      <c r="A22" s="25"/>
      <c r="B22" s="139" t="str">
        <f>IF(Lang="Français","Forme",IF(Lang="English","Shape",""))</f>
        <v>Forme</v>
      </c>
      <c r="C22" s="566" t="s">
        <v>569</v>
      </c>
      <c r="D22" s="567"/>
      <c r="L22" s="108" t="str">
        <f>IF(Lang="Français","Partie masquée",IF(Lang="English","Interation zone",""))</f>
        <v>Partie masquée</v>
      </c>
      <c r="M22" s="570">
        <f>IF(LEFT(Type_masquage,1)="B", X_int-m_int+p_int*(m_int+2*n_int)/(3*(m_int+n_int))+(m_int+n_int-m_int*n_int/(m_int+n_int))/6, 0 )</f>
        <v>0</v>
      </c>
      <c r="N22" s="570"/>
      <c r="O22" s="589">
        <f>IF(LEFT(Type_masquage,1)="B", 4*Q_int*POWER((E_int/D_ref),2)*(1+D_int/(2*E_int+D_int))/(1+SQRT(1+POWER(2*f_int/(m_int+n_int),2))), 0 )</f>
        <v>0</v>
      </c>
      <c r="P22" s="590"/>
      <c r="Q22" s="29"/>
    </row>
    <row r="23" spans="1:20" ht="12.75" customHeight="1" x14ac:dyDescent="0.3">
      <c r="A23" s="25"/>
      <c r="B23" s="139" t="str">
        <f>IF(Lang="Français","Hauteur",IF(Lang="English","Heigth",""))</f>
        <v>Hauteur</v>
      </c>
      <c r="C23" s="564">
        <v>35</v>
      </c>
      <c r="D23" s="565"/>
      <c r="L23" s="108" t="s">
        <v>156</v>
      </c>
      <c r="M23" s="553">
        <f>IF(OR(RIGHT(Nb_diam,1)=",",D2j=0),0, X_j+l_j/3*(1+1/(1+D1j/D2j)) )</f>
        <v>111.31578947368421</v>
      </c>
      <c r="N23" s="554"/>
      <c r="O23" s="560">
        <f>IF(OR(RIGHT(Nb_diam,1)=",",D2j=0),0,2*(POWER(D2j/D_ref,2)-POWER(D1j/D_ref,2)))</f>
        <v>0.37999999999999989</v>
      </c>
      <c r="P23" s="560"/>
      <c r="Q23" s="29"/>
    </row>
    <row r="24" spans="1:20" ht="12.75" customHeight="1" thickBot="1" x14ac:dyDescent="0.35">
      <c r="A24" s="25"/>
      <c r="B24" s="139" t="str">
        <f>IF(Lang="Français","Diamètre",IF(Lang="English","Diameter",""))</f>
        <v>Diamètre</v>
      </c>
      <c r="C24" s="564">
        <v>90</v>
      </c>
      <c r="D24" s="565"/>
      <c r="L24" s="108" t="s">
        <v>157</v>
      </c>
      <c r="M24" s="553">
        <f>IF( OR(RIGHT(Nb_diam,1)=",",D2r=0), 0, X_r+l_r/3*(1+1/(1+D1r/D2r)) )</f>
        <v>525</v>
      </c>
      <c r="N24" s="554"/>
      <c r="O24" s="560">
        <f>IF( OR(RIGHT(Nb_diam,1)=",",D2r=0), 0, 2*(POWER(D2r/D_ref,2)-POWER(D1r/D_ref,2)) )</f>
        <v>0</v>
      </c>
      <c r="P24" s="560"/>
      <c r="Q24" s="29"/>
    </row>
    <row r="25" spans="1:20" ht="12.75" customHeight="1" thickBot="1" x14ac:dyDescent="0.3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35">
      <c r="A26" s="25"/>
      <c r="B26" s="30"/>
      <c r="C26" s="178" t="str">
        <f>IF(LEFT(Type_masquage,1)="M",IF(Lang="Français","Ailerons","Fins"),IF(Lang="Français","Ailerons bas","Lower Fins"))</f>
        <v>Ailerons</v>
      </c>
      <c r="D26" s="179" t="str">
        <f>IF(Lang="Français","Ailerons haut",IF(Lang="English","Upper Fins",""))</f>
        <v>Ailerons haut</v>
      </c>
      <c r="F26" s="39">
        <f ca="1">TODAY()</f>
        <v>45482</v>
      </c>
      <c r="G26" s="137" t="s">
        <v>62</v>
      </c>
      <c r="H26" s="584" t="str">
        <f>IF(Lang="Français","Résultats",IF(Lang="English","Results",""))</f>
        <v>Résultats</v>
      </c>
      <c r="I26" s="584"/>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0" ht="12.75" customHeight="1" thickTop="1" x14ac:dyDescent="0.3">
      <c r="A27" s="25"/>
      <c r="B27" s="30"/>
      <c r="C27" s="561" t="s">
        <v>422</v>
      </c>
      <c r="D27" s="562"/>
      <c r="E27" s="146">
        <f>m_ail</f>
        <v>290</v>
      </c>
      <c r="F27" s="105" t="s">
        <v>64</v>
      </c>
      <c r="G27" s="104">
        <f>IF(RIGHT(Type_fusee,1)=".",10, IF(OR(LEFT(Type_fusee,1)="R",LEFT(Type_fusee,1)=",",LEFT(Type_fusee,4)="Mini"),10, IF(LEFT(Type_fusee,5)="Micro",10, IF(RIGHT(Type_fusee,1)=" ",1))))</f>
        <v>10</v>
      </c>
      <c r="H27" s="551">
        <f>Long_tot/D_ref</f>
        <v>21.95</v>
      </c>
      <c r="I27" s="552"/>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3">
      <c r="A28" s="25"/>
      <c r="B28" s="524" t="str">
        <f>IF(Lang="Français"," Emplanture  'm'",IF(Lang="English"," Root edge  'm'",""))</f>
        <v xml:space="preserve"> Emplanture  'm'</v>
      </c>
      <c r="C28" s="177">
        <v>290</v>
      </c>
      <c r="D28" s="177">
        <v>70</v>
      </c>
      <c r="E28" s="146">
        <f>n_ail+(m_ail-n_ail)*(1-E_int/E_ail)</f>
        <v>235.3125</v>
      </c>
      <c r="F28" s="105" t="str">
        <f>IF(Lang="Français","Portance","Lift")</f>
        <v>Portance</v>
      </c>
      <c r="G28" s="104">
        <f>IF(RIGHT(Type_fusee,1)=".",15,IF(OR(LEFT(Type_fusee,1)="R",LEFT(Type_fusee,1)=",",LEFT(Type_fusee,4)="Mini"),15, IF(LEFT(Type_fusee,5)="Micro",15, IF(RIGHT(Type_fusee,1)=" ",15))))</f>
        <v>15</v>
      </c>
      <c r="H28" s="508">
        <f>Cnai+Cnc+Cno+Cnj+Cnr</f>
        <v>17.567415172291732</v>
      </c>
      <c r="I28" s="508">
        <f>Cnail+Cnc+Cno+Cnj+Cnr</f>
        <v>17.567415172291732</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3">
      <c r="A29" s="25"/>
      <c r="B29" s="524" t="str">
        <f>IF(Lang="Français"," Saumon       'n'",IF(Lang="English"," Tip edge    'n'",""))</f>
        <v xml:space="preserve"> Saumon       'n'</v>
      </c>
      <c r="C29" s="35">
        <v>150</v>
      </c>
      <c r="D29" s="35">
        <v>10</v>
      </c>
      <c r="E29" s="146">
        <f>p_ail*E_int/E_ail</f>
        <v>27.34375</v>
      </c>
      <c r="F29" s="515" t="str">
        <f>IF(Lang="Français","MargeStat.","StatMargin")</f>
        <v>MargeStat.</v>
      </c>
      <c r="G29" s="510">
        <f>IF(RIGHT(Type_fusee,1)=".",2, IF(OR(LEFT(Type_fusee,1)="R",LEFT(Type_fusee,1)=",",LEFT(Type_fusee,4)="Mini"),1.5, IF(LEFT(Type_fusee,5)="Micro",1, IF(RIGHT(Type_fusee,1)=" ",1))))</f>
        <v>2</v>
      </c>
      <c r="H29" s="97">
        <f ca="1">(XCp-XcgPlein)/D_ref</f>
        <v>4.1231769043859048</v>
      </c>
      <c r="I29" s="98">
        <f ca="1">(XCp0-XcgVide)/D_ref</f>
        <v>4.8728473102306884</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3">
      <c r="A30" s="25"/>
      <c r="B30" s="524" t="str">
        <f>IF(Lang="Français"," Flèche          'p'"," Offset         'p'")</f>
        <v xml:space="preserve"> Flèche          'p'</v>
      </c>
      <c r="C30" s="35">
        <v>70</v>
      </c>
      <c r="D30" s="35">
        <v>40</v>
      </c>
      <c r="E30" s="146">
        <f>IF(D_can/2+E_can&lt;=D_ail/2,0, IF(D_can/2+E_can&gt;=D_ail/2+E_ail,E_ail,  D_can/2+E_can - D_ail/2  ) )</f>
        <v>50</v>
      </c>
      <c r="F30" s="516" t="str">
        <f>IF(Lang="Français","Couple","Torque")</f>
        <v>Couple</v>
      </c>
      <c r="G30" s="511">
        <f>IF(RIGHT(Type_fusee,1)=".",40, IF(OR(LEFT(Type_fusee,1)="R",LEFT(Type_fusee,1)=",",LEFT(Type_fusee,4)="Mini"),30, IF(LEFT(Type_fusee,5)="Micro",15, IF(RIGHT(Type_fusee,1)=" ",15))))</f>
        <v>40</v>
      </c>
      <c r="H30" s="99">
        <f ca="1">MS_min*Cn</f>
        <v>72.4335605081518</v>
      </c>
      <c r="I30" s="96">
        <f ca="1">MS_max*Cn0</f>
        <v>85.603331770007543</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3">
      <c r="A31" s="25"/>
      <c r="B31" s="524" t="str">
        <f>IF(Lang="Français"," Envergure     'E'",IF(Lang="English"," Span          'E'",""))</f>
        <v xml:space="preserve"> Envergure     'E'</v>
      </c>
      <c r="C31" s="35">
        <v>128</v>
      </c>
      <c r="D31" s="35">
        <v>50</v>
      </c>
      <c r="E31" s="146">
        <f>ep_ail</f>
        <v>2</v>
      </c>
      <c r="F31" s="106" t="s">
        <v>55</v>
      </c>
      <c r="G31" s="103"/>
      <c r="H31" s="509">
        <f>(Cnai*XCpai+Cnc*XCpc+Cnj*XCpj+Cnr*XCpr+Cno*XCpo)/(Cnai+Cnc+Cnr+Cnj+Cno)</f>
        <v>1761.3903210851804</v>
      </c>
      <c r="I31" s="509">
        <f>(Cnail*XCpa+Cnc*XCpc+Cnj*XCpj+Cnr*XCpr+Cno*XCpo)/(Cnail+Cnc+Cnr+Cnj+Cno)</f>
        <v>1761.3903210851804</v>
      </c>
      <c r="J31" s="102"/>
      <c r="K31" s="32"/>
      <c r="Q31" s="29"/>
      <c r="R31" s="38"/>
      <c r="S31" s="388"/>
    </row>
    <row r="32" spans="1:20" ht="12.75" customHeight="1" x14ac:dyDescent="0.3">
      <c r="A32" s="25"/>
      <c r="B32" s="525" t="str">
        <f>IF(Lang="Français"," Epaisseur     'ep'",IF(Lang="English"," Thickness  'ep'",""))</f>
        <v xml:space="preserve"> Epaisseur     'ep'</v>
      </c>
      <c r="C32" s="35">
        <v>2</v>
      </c>
      <c r="D32" s="35">
        <v>2</v>
      </c>
      <c r="E32" s="146">
        <f>IF(Q_ail=Q_can,Q_ail,FALSE)</f>
        <v>4</v>
      </c>
      <c r="F32" s="106" t="s">
        <v>66</v>
      </c>
      <c r="G32" s="103"/>
      <c r="H32" s="100">
        <f ca="1">(XCp-XcgPlein)/Long_tot*100</f>
        <v>18.784405031370866</v>
      </c>
      <c r="I32" s="101">
        <f ca="1">(XCp-XcgVide)/Long_tot*100</f>
        <v>22.199759955492887</v>
      </c>
      <c r="J32" s="102"/>
      <c r="K32" s="32"/>
      <c r="Q32" s="29"/>
      <c r="R32" s="38"/>
    </row>
    <row r="33" spans="1:23" ht="12.75" customHeight="1" x14ac:dyDescent="0.3">
      <c r="A33" s="25"/>
      <c r="B33" s="524" t="str">
        <f>IF(Lang="Français"," Nombre            ",IF(Lang="English"," Number of fins",""))</f>
        <v xml:space="preserve"> Nombre            </v>
      </c>
      <c r="C33" s="36">
        <v>4</v>
      </c>
      <c r="D33" s="36">
        <v>4</v>
      </c>
      <c r="E33" s="146">
        <f>X_ail</f>
        <v>2185</v>
      </c>
      <c r="G33" s="24"/>
      <c r="H33" s="540" t="str">
        <f ca="1">IF(AND(CritCnmin&lt;Cn,Cn0&lt;CritCnmax,CritMsmin&lt;MS_min,MS_max&lt;CritMsmax,CritMsCnmin&lt;MS_Cn_min,MS_Cn_max&lt;CritMsCnmax),"STABLE",IF(OR(Cn&lt;CritCnmin,MS_min&lt;CritMsmin,MS_Cn_min&lt;CritMsCnmin),"INSTABLE",IF(Lang="Français","SURSTABLE","OVERSTABLE")))</f>
        <v>STABLE</v>
      </c>
      <c r="I33" s="541"/>
      <c r="J33" s="31"/>
      <c r="K33" s="32"/>
      <c r="Q33" s="29"/>
      <c r="R33" s="38"/>
    </row>
    <row r="34" spans="1:23" ht="12.75" customHeight="1" x14ac:dyDescent="0.3">
      <c r="A34" s="25"/>
      <c r="B34" s="524" t="str">
        <f>IF(Lang="Français"," Position du bas",IF(Lang="English"," Basement",""))</f>
        <v xml:space="preserve"> Position du bas</v>
      </c>
      <c r="C34" s="35">
        <v>2185</v>
      </c>
      <c r="D34" s="35">
        <v>700</v>
      </c>
      <c r="E34" s="146">
        <f>D_ail</f>
        <v>100</v>
      </c>
      <c r="G34" s="24"/>
      <c r="H34" s="542"/>
      <c r="I34" s="543"/>
      <c r="K34" s="32"/>
      <c r="Q34" s="29"/>
      <c r="R34" s="38"/>
    </row>
    <row r="35" spans="1:23" ht="12.75" customHeight="1" x14ac:dyDescent="0.3">
      <c r="A35" s="25"/>
      <c r="B35" s="524" t="str">
        <f>IF(Lang="Français"," Diamètre         ",IF(Lang="English"," Diameter at Fins",""))</f>
        <v xml:space="preserve"> Diamètre         </v>
      </c>
      <c r="C35" s="35">
        <v>100</v>
      </c>
      <c r="D35" s="35">
        <f>D_ref</f>
        <v>100</v>
      </c>
      <c r="E35" s="146">
        <f>SQRT(POWER(p_int+n_int/2-m_int/2,2)+POWER(E_int,2))</f>
        <v>50</v>
      </c>
      <c r="K35" s="32"/>
      <c r="Q35" s="29"/>
      <c r="R35" s="38"/>
      <c r="W35" s="24" t="str">
        <f>RIGHT(Type_fusee,1="R")</f>
        <v/>
      </c>
    </row>
    <row r="36" spans="1:23" ht="12.75" customHeight="1" x14ac:dyDescent="0.3">
      <c r="A36" s="25"/>
      <c r="B36" s="524" t="str">
        <f>IF(Lang="Français"," Ligne mi-corde f",IF(Lang="English"," Mid-chord line f",""))</f>
        <v xml:space="preserve"> Ligne mi-corde f</v>
      </c>
      <c r="C36" s="145">
        <f>SQRT(POWER(p_ail+n_ail/2-m_ail/2,2)+POWER(E_ail,2))</f>
        <v>128</v>
      </c>
      <c r="D36" s="145">
        <f>SQRT(POWER(p_can+n_can/2-m_can/2,2)+POWER(E_can,2))</f>
        <v>50.990195135927848</v>
      </c>
      <c r="E36" s="536"/>
      <c r="K36" s="32"/>
      <c r="Q36" s="29"/>
      <c r="R36" s="38"/>
    </row>
    <row r="37" spans="1:23" ht="12.75" customHeight="1" thickBot="1" x14ac:dyDescent="0.35">
      <c r="A37" s="40"/>
      <c r="B37" s="182" t="str">
        <f>IF(Lang="Français","Commentaire libre :",IF(Lang="English","Free comment:",""))</f>
        <v>Commentaire libre :</v>
      </c>
      <c r="C37" s="41"/>
      <c r="D37" s="42"/>
      <c r="E37" s="91"/>
      <c r="F37" s="67"/>
      <c r="G37" s="67"/>
      <c r="H37" s="67"/>
      <c r="I37" s="67"/>
      <c r="J37" s="42"/>
      <c r="K37" s="42"/>
      <c r="L37" s="389" t="s">
        <v>268</v>
      </c>
      <c r="M37" s="392" t="str">
        <f>IF(ROUND(SUM(Propu!5:1228),0)=437735,"propu OK","propu NOK")</f>
        <v>propu OK</v>
      </c>
      <c r="N37" s="391" t="str">
        <f>IF(Lang="Français","fichier initial","Initial file")</f>
        <v>fichier initial</v>
      </c>
      <c r="O37" s="392"/>
      <c r="P37" s="390"/>
      <c r="Q37" s="291" t="s">
        <v>565</v>
      </c>
      <c r="R37" s="43"/>
    </row>
    <row r="39" spans="1:23" x14ac:dyDescent="0.3">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3">
      <c r="H40" s="87"/>
      <c r="O40" s="26"/>
      <c r="P40" s="26"/>
      <c r="S40" s="506"/>
    </row>
    <row r="41" spans="1:23" x14ac:dyDescent="0.3">
      <c r="F41" s="24"/>
      <c r="H41" s="43"/>
      <c r="I41" s="44"/>
      <c r="J41" s="43"/>
      <c r="N41" s="43"/>
      <c r="Q41" s="43"/>
      <c r="R41" s="43"/>
    </row>
    <row r="42" spans="1:23" x14ac:dyDescent="0.3">
      <c r="F42" s="24"/>
      <c r="G42" s="503"/>
      <c r="H42" s="504"/>
      <c r="I42" s="44"/>
      <c r="J42" s="43"/>
      <c r="N42" s="43"/>
      <c r="Q42" s="43"/>
      <c r="R42" s="43"/>
    </row>
    <row r="43" spans="1:23" x14ac:dyDescent="0.3">
      <c r="F43" s="24"/>
      <c r="H43" s="43"/>
      <c r="I43" s="44"/>
      <c r="J43" s="43"/>
      <c r="N43" s="43"/>
      <c r="Q43" s="43"/>
      <c r="R43" s="43"/>
    </row>
    <row r="44" spans="1:23" x14ac:dyDescent="0.3">
      <c r="F44" s="24"/>
      <c r="H44" s="43"/>
      <c r="I44" s="44"/>
      <c r="J44" s="43"/>
      <c r="N44" s="43"/>
      <c r="Q44" s="43"/>
      <c r="R44" s="43"/>
    </row>
    <row r="45" spans="1:23" x14ac:dyDescent="0.3">
      <c r="F45" s="24"/>
      <c r="H45" s="43"/>
      <c r="I45" s="44"/>
      <c r="J45" s="43"/>
      <c r="N45" s="43"/>
      <c r="Q45" s="43"/>
      <c r="R45" s="43"/>
    </row>
    <row r="46" spans="1:23" x14ac:dyDescent="0.3">
      <c r="F46" s="24"/>
      <c r="H46" s="43"/>
      <c r="I46" s="44"/>
      <c r="J46" s="43"/>
      <c r="N46" s="43"/>
      <c r="Q46" s="43"/>
      <c r="R46" s="43"/>
    </row>
    <row r="47" spans="1:23" x14ac:dyDescent="0.3">
      <c r="F47" s="24"/>
      <c r="H47" s="43"/>
      <c r="I47" s="44"/>
      <c r="J47" s="43"/>
      <c r="L47" s="43"/>
      <c r="M47" s="43"/>
      <c r="N47" s="43"/>
      <c r="Q47" s="43"/>
      <c r="R47" s="43"/>
    </row>
    <row r="48" spans="1:23" x14ac:dyDescent="0.3">
      <c r="F48" s="24"/>
      <c r="H48" s="43"/>
      <c r="I48" s="44"/>
      <c r="J48" s="43"/>
      <c r="L48" s="43"/>
      <c r="M48" s="43"/>
      <c r="N48" s="43"/>
      <c r="Q48" s="43"/>
      <c r="R48" s="43"/>
    </row>
    <row r="49" spans="2:18" x14ac:dyDescent="0.3">
      <c r="F49" s="24"/>
      <c r="H49" s="43"/>
      <c r="I49" s="44"/>
      <c r="J49" s="43"/>
      <c r="L49" s="43"/>
      <c r="M49" s="43"/>
      <c r="N49" s="43"/>
      <c r="Q49" s="43"/>
      <c r="R49" s="43"/>
    </row>
    <row r="50" spans="2:18" x14ac:dyDescent="0.3">
      <c r="F50" s="24"/>
      <c r="H50" s="43"/>
      <c r="I50" s="44"/>
      <c r="J50" s="43"/>
      <c r="L50" s="43"/>
      <c r="M50" s="43"/>
      <c r="N50" s="43"/>
      <c r="Q50" s="43"/>
      <c r="R50" s="43"/>
    </row>
    <row r="51" spans="2:18" x14ac:dyDescent="0.3">
      <c r="F51" s="24"/>
      <c r="H51" s="43"/>
      <c r="I51" s="44"/>
      <c r="J51" s="43"/>
      <c r="L51" s="43"/>
      <c r="M51" s="43"/>
      <c r="N51" s="43"/>
      <c r="Q51" s="43"/>
      <c r="R51" s="43"/>
    </row>
    <row r="52" spans="2:18" x14ac:dyDescent="0.3">
      <c r="F52" s="24"/>
      <c r="H52" s="43"/>
      <c r="I52" s="44"/>
      <c r="J52" s="43"/>
      <c r="L52" s="43"/>
      <c r="M52" s="43"/>
      <c r="N52" s="43"/>
      <c r="Q52" s="43"/>
      <c r="R52" s="43"/>
    </row>
    <row r="53" spans="2:18" x14ac:dyDescent="0.3">
      <c r="H53" s="43"/>
      <c r="I53" s="44"/>
      <c r="J53" s="43"/>
      <c r="L53" s="43"/>
      <c r="M53" s="43"/>
      <c r="N53" s="43"/>
      <c r="Q53" s="43"/>
      <c r="R53" s="43"/>
    </row>
    <row r="54" spans="2:18" x14ac:dyDescent="0.3">
      <c r="H54" s="43"/>
      <c r="I54" s="44"/>
      <c r="J54" s="43"/>
      <c r="L54" s="43"/>
      <c r="M54" s="43"/>
      <c r="N54" s="43"/>
      <c r="Q54" s="43"/>
      <c r="R54" s="43"/>
    </row>
    <row r="55" spans="2:18" x14ac:dyDescent="0.3">
      <c r="H55" s="43"/>
      <c r="I55" s="44"/>
      <c r="J55" s="43"/>
      <c r="L55" s="43"/>
      <c r="M55" s="43"/>
      <c r="N55" s="43"/>
      <c r="Q55" s="43"/>
      <c r="R55" s="43"/>
    </row>
    <row r="56" spans="2:18" x14ac:dyDescent="0.3">
      <c r="H56" s="43"/>
      <c r="I56" s="44"/>
      <c r="J56" s="43"/>
      <c r="L56" s="43"/>
      <c r="M56" s="43"/>
      <c r="N56" s="43"/>
      <c r="Q56" s="43"/>
      <c r="R56" s="43"/>
    </row>
    <row r="57" spans="2:18" x14ac:dyDescent="0.3">
      <c r="C57" s="24"/>
      <c r="H57" s="43"/>
      <c r="I57" s="44"/>
      <c r="J57" s="43"/>
      <c r="L57" s="43"/>
      <c r="M57" s="43"/>
      <c r="N57" s="43"/>
      <c r="Q57" s="43"/>
      <c r="R57" s="43"/>
    </row>
    <row r="58" spans="2:18" x14ac:dyDescent="0.3">
      <c r="H58" s="43"/>
      <c r="I58" s="44"/>
      <c r="J58" s="43"/>
      <c r="L58" s="43"/>
      <c r="M58" s="43"/>
      <c r="N58" s="43"/>
      <c r="Q58" s="43"/>
      <c r="R58" s="43"/>
    </row>
    <row r="59" spans="2:18" x14ac:dyDescent="0.3">
      <c r="B59" s="31"/>
      <c r="H59" s="43"/>
      <c r="I59" s="44"/>
      <c r="J59" s="43"/>
      <c r="L59" s="43"/>
      <c r="M59" s="43"/>
      <c r="N59" s="43"/>
      <c r="Q59" s="43"/>
      <c r="R59" s="43"/>
    </row>
    <row r="60" spans="2:18" x14ac:dyDescent="0.3">
      <c r="B60" s="31"/>
      <c r="H60" s="43"/>
      <c r="I60" s="44"/>
      <c r="J60" s="43"/>
      <c r="L60" s="43"/>
      <c r="M60" s="43"/>
      <c r="N60" s="43"/>
      <c r="Q60" s="43"/>
      <c r="R60" s="43"/>
    </row>
    <row r="61" spans="2:18" x14ac:dyDescent="0.3">
      <c r="B61" s="31"/>
      <c r="H61" s="43"/>
      <c r="I61" s="44"/>
      <c r="J61" s="43"/>
      <c r="L61" s="43"/>
      <c r="M61" s="43"/>
      <c r="N61" s="43"/>
      <c r="Q61" s="43"/>
      <c r="R61" s="43"/>
    </row>
    <row r="62" spans="2:18" x14ac:dyDescent="0.3">
      <c r="B62" s="31"/>
      <c r="H62" s="43"/>
      <c r="I62" s="44"/>
      <c r="J62" s="43"/>
      <c r="L62" s="43"/>
      <c r="M62" s="43"/>
      <c r="N62" s="43"/>
      <c r="Q62" s="43"/>
      <c r="R62" s="43"/>
    </row>
    <row r="63" spans="2:18" x14ac:dyDescent="0.3">
      <c r="B63" s="31"/>
      <c r="H63" s="43"/>
      <c r="I63" s="44"/>
      <c r="J63" s="43"/>
      <c r="L63" s="43"/>
      <c r="M63" s="43"/>
      <c r="N63" s="43"/>
      <c r="Q63" s="43"/>
      <c r="R63" s="43"/>
    </row>
    <row r="64" spans="2:18" x14ac:dyDescent="0.3">
      <c r="B64" s="31"/>
      <c r="H64" s="43"/>
      <c r="I64" s="44"/>
      <c r="J64" s="43"/>
      <c r="L64" s="43"/>
      <c r="M64" s="43"/>
      <c r="N64" s="43"/>
      <c r="Q64" s="43"/>
      <c r="R64" s="43"/>
    </row>
    <row r="65" spans="2:18" x14ac:dyDescent="0.3">
      <c r="B65" s="31"/>
      <c r="H65" s="43"/>
      <c r="I65" s="44"/>
      <c r="J65" s="43"/>
      <c r="L65" s="43"/>
      <c r="M65" s="43"/>
      <c r="N65" s="43"/>
      <c r="Q65" s="43"/>
      <c r="R65" s="43"/>
    </row>
    <row r="66" spans="2:18" x14ac:dyDescent="0.3">
      <c r="B66" s="31"/>
      <c r="H66" s="43"/>
      <c r="I66" s="44"/>
      <c r="J66" s="43"/>
      <c r="L66" s="43"/>
      <c r="M66" s="43"/>
      <c r="N66" s="43"/>
      <c r="Q66" s="43"/>
      <c r="R66" s="43"/>
    </row>
    <row r="67" spans="2:18" x14ac:dyDescent="0.3">
      <c r="B67" s="31"/>
      <c r="H67" s="43"/>
      <c r="I67" s="44"/>
      <c r="J67" s="43"/>
      <c r="L67" s="43"/>
      <c r="M67" s="43"/>
      <c r="N67" s="43"/>
      <c r="Q67" s="43"/>
      <c r="R67" s="43"/>
    </row>
    <row r="68" spans="2:18" x14ac:dyDescent="0.3">
      <c r="C68" s="24"/>
      <c r="H68" s="43"/>
      <c r="I68" s="44"/>
      <c r="J68" s="43"/>
      <c r="L68" s="43"/>
      <c r="M68" s="43"/>
      <c r="N68" s="43"/>
      <c r="Q68" s="43"/>
      <c r="R68" s="43"/>
    </row>
    <row r="69" spans="2:18" x14ac:dyDescent="0.3">
      <c r="C69" s="24"/>
      <c r="H69" s="43"/>
      <c r="I69" s="44"/>
      <c r="J69" s="43"/>
      <c r="L69" s="43"/>
      <c r="M69" s="43"/>
      <c r="N69" s="43"/>
      <c r="Q69" s="43"/>
      <c r="R69" s="43"/>
    </row>
    <row r="70" spans="2:18" x14ac:dyDescent="0.3">
      <c r="C70" s="24"/>
      <c r="H70" s="43"/>
      <c r="I70" s="44"/>
      <c r="J70" s="43"/>
      <c r="L70" s="43"/>
      <c r="M70" s="43"/>
      <c r="N70" s="43"/>
      <c r="Q70" s="43"/>
      <c r="R70" s="43"/>
    </row>
    <row r="71" spans="2:18" x14ac:dyDescent="0.3">
      <c r="C71" s="24"/>
      <c r="H71" s="43"/>
      <c r="I71" s="44"/>
      <c r="J71" s="43"/>
      <c r="L71" s="43"/>
      <c r="M71" s="43"/>
      <c r="N71" s="43"/>
      <c r="Q71" s="43"/>
      <c r="R71" s="43"/>
    </row>
    <row r="72" spans="2:18" x14ac:dyDescent="0.3">
      <c r="C72" s="24"/>
      <c r="H72" s="43"/>
      <c r="I72" s="44"/>
      <c r="J72" s="43"/>
      <c r="L72" s="43"/>
      <c r="M72" s="43"/>
      <c r="N72" s="43"/>
      <c r="Q72" s="43"/>
      <c r="R72" s="43"/>
    </row>
    <row r="73" spans="2:18" x14ac:dyDescent="0.3">
      <c r="C73" s="24"/>
      <c r="H73" s="43"/>
      <c r="I73" s="44"/>
      <c r="J73" s="43"/>
      <c r="L73" s="43"/>
      <c r="M73" s="43"/>
      <c r="N73" s="43"/>
      <c r="Q73" s="43"/>
      <c r="R73" s="43"/>
    </row>
    <row r="74" spans="2:18" x14ac:dyDescent="0.3">
      <c r="C74" s="24"/>
      <c r="H74" s="43"/>
      <c r="I74" s="44"/>
      <c r="J74" s="43"/>
      <c r="L74" s="43"/>
      <c r="M74" s="43"/>
      <c r="N74" s="43"/>
      <c r="Q74" s="43"/>
      <c r="R74" s="43"/>
    </row>
    <row r="75" spans="2:18" x14ac:dyDescent="0.3">
      <c r="C75" s="24"/>
      <c r="H75" s="43"/>
      <c r="I75" s="44"/>
      <c r="J75" s="43"/>
      <c r="L75" s="43"/>
      <c r="M75" s="43"/>
      <c r="N75" s="43"/>
      <c r="Q75" s="43"/>
      <c r="R75" s="43"/>
    </row>
    <row r="76" spans="2:18" x14ac:dyDescent="0.3">
      <c r="C76" s="24"/>
      <c r="H76" s="43"/>
      <c r="I76" s="44"/>
      <c r="J76" s="43"/>
      <c r="L76" s="43"/>
      <c r="M76" s="43"/>
      <c r="N76" s="43"/>
      <c r="Q76" s="43"/>
      <c r="R76" s="43"/>
    </row>
    <row r="77" spans="2:18" x14ac:dyDescent="0.3">
      <c r="C77" s="24"/>
      <c r="H77" s="43"/>
      <c r="I77" s="44"/>
      <c r="J77" s="43"/>
      <c r="L77" s="43"/>
      <c r="M77" s="43"/>
      <c r="N77" s="43"/>
      <c r="Q77" s="43"/>
      <c r="R77" s="43"/>
    </row>
    <row r="78" spans="2:18" x14ac:dyDescent="0.3">
      <c r="C78" s="24"/>
      <c r="H78" s="43"/>
      <c r="I78" s="44"/>
      <c r="J78" s="43"/>
      <c r="L78" s="43"/>
      <c r="M78" s="43"/>
      <c r="N78" s="43"/>
      <c r="Q78" s="43"/>
      <c r="R78" s="43"/>
    </row>
    <row r="79" spans="2:18" x14ac:dyDescent="0.3">
      <c r="C79" s="24"/>
      <c r="H79" s="43"/>
      <c r="I79" s="44"/>
      <c r="J79" s="43"/>
      <c r="L79" s="43"/>
      <c r="M79" s="43"/>
      <c r="N79" s="43"/>
      <c r="Q79" s="43"/>
      <c r="R79" s="43"/>
    </row>
    <row r="80" spans="2:18" x14ac:dyDescent="0.3">
      <c r="C80" s="24"/>
      <c r="H80" s="43"/>
      <c r="I80" s="44"/>
      <c r="J80" s="43"/>
      <c r="L80" s="43"/>
      <c r="M80" s="43"/>
      <c r="N80" s="43"/>
      <c r="Q80" s="43"/>
      <c r="R80" s="43"/>
    </row>
    <row r="81" spans="2:18" x14ac:dyDescent="0.3">
      <c r="C81" s="24"/>
      <c r="H81" s="43"/>
      <c r="I81" s="44"/>
      <c r="J81" s="43"/>
      <c r="L81" s="43"/>
      <c r="M81" s="43"/>
      <c r="N81" s="43"/>
      <c r="Q81" s="43"/>
      <c r="R81" s="43"/>
    </row>
    <row r="82" spans="2:18" x14ac:dyDescent="0.3">
      <c r="C82" s="24"/>
      <c r="H82" s="43"/>
      <c r="I82" s="44"/>
      <c r="J82" s="43"/>
      <c r="L82" s="43"/>
      <c r="M82" s="43"/>
      <c r="N82" s="43"/>
      <c r="Q82" s="43"/>
      <c r="R82" s="43"/>
    </row>
    <row r="83" spans="2:18" x14ac:dyDescent="0.3">
      <c r="C83" s="24"/>
      <c r="H83" s="43"/>
      <c r="I83" s="44"/>
      <c r="J83" s="43"/>
      <c r="L83" s="43"/>
      <c r="M83" s="43"/>
      <c r="N83" s="43"/>
      <c r="Q83" s="43"/>
      <c r="R83" s="43"/>
    </row>
    <row r="84" spans="2:18" x14ac:dyDescent="0.3">
      <c r="C84" s="24"/>
      <c r="H84" s="43"/>
      <c r="I84" s="44"/>
      <c r="J84" s="43"/>
      <c r="L84" s="43"/>
      <c r="M84" s="43"/>
      <c r="N84" s="43"/>
      <c r="Q84" s="43"/>
      <c r="R84" s="43"/>
    </row>
    <row r="85" spans="2:18" x14ac:dyDescent="0.3">
      <c r="C85" s="24"/>
      <c r="H85" s="43"/>
      <c r="I85" s="44"/>
      <c r="J85" s="43"/>
      <c r="L85" s="43"/>
      <c r="M85" s="43"/>
      <c r="N85" s="43"/>
      <c r="Q85" s="43"/>
      <c r="R85" s="43"/>
    </row>
    <row r="86" spans="2:18" x14ac:dyDescent="0.3">
      <c r="C86" s="24"/>
      <c r="H86" s="43"/>
      <c r="I86" s="44"/>
      <c r="J86" s="43"/>
      <c r="L86" s="43"/>
      <c r="M86" s="43"/>
      <c r="N86" s="43"/>
      <c r="Q86" s="43"/>
      <c r="R86" s="43"/>
    </row>
    <row r="87" spans="2:18" x14ac:dyDescent="0.3">
      <c r="C87" s="24"/>
      <c r="H87" s="43"/>
      <c r="I87" s="44"/>
      <c r="J87" s="43"/>
      <c r="L87" s="43"/>
      <c r="M87" s="43"/>
      <c r="N87" s="43"/>
      <c r="Q87" s="43"/>
      <c r="R87" s="43"/>
    </row>
    <row r="88" spans="2:18" x14ac:dyDescent="0.3">
      <c r="C88" s="24"/>
      <c r="H88" s="43"/>
      <c r="I88" s="44"/>
      <c r="J88" s="43"/>
      <c r="L88" s="43"/>
      <c r="M88" s="43"/>
      <c r="N88" s="43"/>
      <c r="Q88" s="43"/>
      <c r="R88" s="43"/>
    </row>
    <row r="89" spans="2:18" x14ac:dyDescent="0.3">
      <c r="C89" s="24"/>
      <c r="H89" s="43"/>
      <c r="I89" s="44"/>
      <c r="J89" s="43"/>
      <c r="L89" s="43"/>
      <c r="M89" s="43"/>
      <c r="N89" s="43"/>
      <c r="Q89" s="43"/>
      <c r="R89" s="43"/>
    </row>
    <row r="90" spans="2:18" x14ac:dyDescent="0.3">
      <c r="C90" s="24"/>
      <c r="H90" s="43"/>
      <c r="I90" s="44"/>
      <c r="J90" s="43"/>
      <c r="L90" s="43"/>
      <c r="M90" s="43"/>
      <c r="N90" s="43"/>
      <c r="Q90" s="43"/>
      <c r="R90" s="43"/>
    </row>
    <row r="91" spans="2:18" x14ac:dyDescent="0.3">
      <c r="C91" s="24"/>
      <c r="H91" s="43"/>
      <c r="I91" s="44"/>
      <c r="J91" s="43"/>
      <c r="L91" s="43"/>
      <c r="M91" s="43"/>
      <c r="N91" s="43"/>
      <c r="Q91" s="43"/>
      <c r="R91" s="43"/>
    </row>
    <row r="92" spans="2:18" x14ac:dyDescent="0.3">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3">
      <c r="H93" s="43"/>
      <c r="I93" s="44"/>
      <c r="J93" s="43"/>
      <c r="L93" s="43"/>
      <c r="M93" s="43"/>
      <c r="N93" s="43"/>
      <c r="Q93" s="43"/>
      <c r="R93" s="43"/>
    </row>
    <row r="94" spans="2:18" x14ac:dyDescent="0.3">
      <c r="B94" s="26" t="s">
        <v>1</v>
      </c>
      <c r="H94" s="43"/>
      <c r="I94" s="44"/>
      <c r="J94" s="43"/>
      <c r="L94" s="43"/>
      <c r="M94" s="43"/>
      <c r="N94" s="43"/>
      <c r="Q94" s="43"/>
      <c r="R94" s="43"/>
    </row>
    <row r="95" spans="2:18" x14ac:dyDescent="0.3">
      <c r="B95" s="26" t="s">
        <v>67</v>
      </c>
      <c r="H95" s="43"/>
      <c r="I95" s="44"/>
      <c r="J95" s="43"/>
      <c r="L95" s="43"/>
      <c r="M95" s="43"/>
      <c r="N95" s="43"/>
      <c r="Q95" s="43"/>
      <c r="R95" s="43"/>
    </row>
    <row r="96" spans="2:18" x14ac:dyDescent="0.3">
      <c r="B96" s="26"/>
      <c r="H96" s="43"/>
      <c r="I96" s="44"/>
      <c r="J96" s="43"/>
      <c r="L96" s="43"/>
      <c r="M96" s="43"/>
      <c r="N96" s="43"/>
      <c r="Q96" s="43"/>
      <c r="R96" s="43"/>
    </row>
    <row r="97" spans="2:18" x14ac:dyDescent="0.3">
      <c r="B97" s="26" t="str">
        <f>IF(Lang="Français","Fusée à eau  ",IF(Lang="English","Water-rocket  ",""))</f>
        <v xml:space="preserve">Fusée à eau  </v>
      </c>
      <c r="H97" s="43"/>
      <c r="I97" s="44"/>
      <c r="J97" s="43"/>
      <c r="L97" s="43"/>
      <c r="M97" s="43"/>
      <c r="N97" s="43"/>
      <c r="Q97" s="43"/>
      <c r="R97" s="43"/>
    </row>
    <row r="98" spans="2:18" x14ac:dyDescent="0.3">
      <c r="B98" s="26" t="str">
        <f>IF(Lang="Français","Microfusée",IF(Lang="English","Micro-rocket",""))</f>
        <v>Microfusée</v>
      </c>
      <c r="H98" s="43"/>
      <c r="I98" s="44"/>
      <c r="J98" s="43"/>
      <c r="L98" s="43"/>
      <c r="M98" s="43"/>
      <c r="N98" s="43"/>
      <c r="Q98" s="43"/>
      <c r="R98" s="43"/>
    </row>
    <row r="99" spans="2:18" x14ac:dyDescent="0.3">
      <c r="B99" s="26" t="str">
        <f>IF(Lang="Français","Minifusée",IF(Lang="English","Mini-rocket",""))</f>
        <v>Minifusée</v>
      </c>
      <c r="H99" s="43"/>
      <c r="I99" s="44"/>
      <c r="J99" s="43"/>
      <c r="L99" s="43"/>
      <c r="M99" s="43"/>
      <c r="N99" s="43"/>
      <c r="Q99" s="43"/>
      <c r="R99" s="43"/>
    </row>
    <row r="100" spans="2:18" x14ac:dyDescent="0.3">
      <c r="B100" s="26" t="str">
        <f>IF(Lang="Français","Fusée expérimentale.",IF(Lang="English","Experimental Rocket.",""))</f>
        <v>Fusée expérimentale.</v>
      </c>
      <c r="H100" s="43"/>
      <c r="I100" s="44"/>
      <c r="J100" s="43"/>
      <c r="L100" s="43"/>
      <c r="M100" s="43"/>
      <c r="N100" s="43"/>
      <c r="Q100" s="43"/>
      <c r="R100" s="43"/>
    </row>
    <row r="101" spans="2:18" x14ac:dyDescent="0.3">
      <c r="B101" s="26" t="s">
        <v>396</v>
      </c>
      <c r="H101" s="43"/>
      <c r="I101" s="44"/>
      <c r="J101" s="43"/>
      <c r="L101" s="43"/>
      <c r="M101" s="43"/>
      <c r="N101" s="43"/>
      <c r="Q101" s="43"/>
      <c r="R101" s="43"/>
    </row>
    <row r="102" spans="2:18" x14ac:dyDescent="0.3">
      <c r="B102" s="26"/>
      <c r="H102" s="43"/>
      <c r="I102" s="44"/>
      <c r="J102" s="43"/>
      <c r="L102" s="43"/>
      <c r="M102" s="43"/>
      <c r="N102" s="43"/>
      <c r="Q102" s="43"/>
      <c r="R102" s="43"/>
    </row>
    <row r="103" spans="2:18" x14ac:dyDescent="0.3">
      <c r="B103" s="26" t="str">
        <f>IF(Lang="Français","sans propu",IF(Lang="English","without motor",""))</f>
        <v>sans propu</v>
      </c>
      <c r="H103" s="43"/>
      <c r="I103" s="44"/>
      <c r="J103" s="43"/>
      <c r="L103" s="43"/>
      <c r="M103" s="43"/>
      <c r="N103" s="43"/>
      <c r="Q103" s="43"/>
      <c r="R103" s="43"/>
    </row>
    <row r="104" spans="2:18" x14ac:dyDescent="0.3">
      <c r="B104" s="26" t="str">
        <f>IF(Lang="Français","avec propu vide",IF(Lang="English","with empty motor",""))</f>
        <v>avec propu vide</v>
      </c>
      <c r="H104" s="43"/>
      <c r="I104" s="44"/>
      <c r="J104" s="43"/>
      <c r="L104" s="43"/>
      <c r="M104" s="43"/>
      <c r="N104" s="43"/>
      <c r="Q104" s="43"/>
      <c r="R104" s="43"/>
    </row>
    <row r="105" spans="2:18" x14ac:dyDescent="0.3">
      <c r="B105" s="26" t="str">
        <f>IF(Lang="Français","avec propu plein",IF(Lang="English","with loaded motor",""))</f>
        <v>avec propu plein</v>
      </c>
      <c r="H105" s="43"/>
      <c r="I105" s="44"/>
      <c r="J105" s="43"/>
      <c r="L105" s="43"/>
      <c r="M105" s="43"/>
      <c r="N105" s="43"/>
      <c r="Q105" s="43"/>
      <c r="R105" s="43"/>
    </row>
    <row r="106" spans="2:18" x14ac:dyDescent="0.3">
      <c r="B106" s="26"/>
      <c r="H106" s="43"/>
      <c r="I106" s="44"/>
      <c r="J106" s="43"/>
      <c r="L106" s="43"/>
      <c r="M106" s="43"/>
      <c r="N106" s="43"/>
      <c r="Q106" s="43"/>
      <c r="R106" s="43"/>
    </row>
    <row r="107" spans="2:18" x14ac:dyDescent="0.3">
      <c r="B107" s="26" t="str">
        <f>IF(Lang="Français","Parabolique (arrondie)",IF(Lang="English","Parabola (rounded)",""))</f>
        <v>Parabolique (arrondie)</v>
      </c>
      <c r="H107" s="43"/>
      <c r="I107" s="44"/>
      <c r="J107" s="43"/>
      <c r="L107" s="43"/>
      <c r="M107" s="43"/>
      <c r="N107" s="43"/>
      <c r="Q107" s="43"/>
      <c r="R107" s="43"/>
    </row>
    <row r="108" spans="2:18" x14ac:dyDescent="0.3">
      <c r="B108" s="26" t="str">
        <f>IF(Lang="Français","Ogivale (pointue)",IF(Lang="English","Ogive (sharp)",""))</f>
        <v>Ogivale (pointue)</v>
      </c>
      <c r="H108" s="43"/>
      <c r="I108" s="44"/>
      <c r="J108" s="43"/>
      <c r="L108" s="43"/>
      <c r="M108" s="43"/>
      <c r="N108" s="43"/>
      <c r="Q108" s="43"/>
      <c r="R108" s="43"/>
    </row>
    <row r="109" spans="2:18" x14ac:dyDescent="0.3">
      <c r="B109" s="26" t="str">
        <f>IF(Lang="Français","Conique (droite)",IF(Lang="English","Cone (straight)",""))</f>
        <v>Conique (droite)</v>
      </c>
      <c r="H109" s="43"/>
      <c r="I109" s="44"/>
      <c r="J109" s="43"/>
      <c r="L109" s="43"/>
      <c r="M109" s="43"/>
      <c r="N109" s="43"/>
      <c r="Q109" s="43"/>
      <c r="R109" s="43"/>
    </row>
    <row r="110" spans="2:18" x14ac:dyDescent="0.3">
      <c r="B110" s="38"/>
      <c r="H110" s="43"/>
      <c r="I110" s="44"/>
      <c r="J110" s="43"/>
      <c r="L110" s="43"/>
      <c r="M110" s="43"/>
      <c r="N110" s="43"/>
      <c r="Q110" s="43"/>
      <c r="R110" s="43"/>
    </row>
    <row r="111" spans="2:18" x14ac:dyDescent="0.3">
      <c r="B111" s="38" t="s">
        <v>422</v>
      </c>
      <c r="H111" s="43"/>
      <c r="I111" s="44"/>
      <c r="J111" s="43"/>
      <c r="L111" s="43"/>
      <c r="M111" s="43"/>
      <c r="N111" s="43"/>
      <c r="Q111" s="43"/>
      <c r="R111" s="43"/>
    </row>
    <row r="112" spans="2:18" x14ac:dyDescent="0.3">
      <c r="B112" s="38" t="s">
        <v>423</v>
      </c>
      <c r="H112" s="43"/>
      <c r="I112" s="44"/>
      <c r="J112" s="43"/>
      <c r="L112" s="43"/>
      <c r="M112" s="43"/>
      <c r="N112" s="43"/>
      <c r="Q112" s="43"/>
      <c r="R112" s="43"/>
    </row>
    <row r="113" spans="2:18" x14ac:dyDescent="0.3">
      <c r="B113" s="38"/>
      <c r="H113" s="43"/>
      <c r="I113" s="44"/>
      <c r="J113" s="43"/>
      <c r="L113" s="43"/>
      <c r="M113" s="43"/>
      <c r="N113" s="43"/>
      <c r="Q113" s="43"/>
      <c r="R113" s="43"/>
    </row>
    <row r="114" spans="2:18" x14ac:dyDescent="0.3">
      <c r="B114" s="38" t="str">
        <f>IF(Lang="Français","Fusée mono-diamètre,",IF(Lang="English","Mono-diameter rocket,",""))</f>
        <v>Fusée mono-diamètre,</v>
      </c>
      <c r="H114" s="43"/>
      <c r="I114" s="44"/>
      <c r="J114" s="43"/>
      <c r="L114" s="43"/>
      <c r="M114" s="43"/>
      <c r="N114" s="43"/>
      <c r="Q114" s="43"/>
      <c r="R114" s="43"/>
    </row>
    <row r="115" spans="2:18" x14ac:dyDescent="0.3">
      <c r="B115" s="38" t="str">
        <f>IF(Lang="Français","Plusieurs diamètres.",IF(Lang="English","Many diameters rocket.",""))</f>
        <v>Plusieurs diamètres.</v>
      </c>
      <c r="H115" s="43"/>
      <c r="I115" s="44"/>
      <c r="J115" s="43"/>
      <c r="L115" s="43"/>
      <c r="M115" s="43"/>
      <c r="N115" s="43"/>
      <c r="Q115" s="43"/>
      <c r="R115" s="43"/>
    </row>
    <row r="116" spans="2:18" x14ac:dyDescent="0.3">
      <c r="B116" s="38"/>
      <c r="H116" s="43"/>
      <c r="I116" s="44"/>
      <c r="J116" s="43"/>
      <c r="L116" s="43"/>
      <c r="M116" s="43"/>
      <c r="N116" s="43"/>
      <c r="Q116" s="43"/>
      <c r="R116" s="43"/>
    </row>
    <row r="117" spans="2:18" x14ac:dyDescent="0.3">
      <c r="B117" s="223" t="str">
        <f>IF(Lang="Français","Diagramme des critères de stabilité","Stability criterions diagram")</f>
        <v>Diagramme des critères de stabilité</v>
      </c>
      <c r="H117" s="43"/>
      <c r="I117" s="44"/>
      <c r="J117" s="43"/>
      <c r="L117" s="43"/>
      <c r="M117" s="43"/>
      <c r="N117" s="43"/>
      <c r="Q117" s="43"/>
      <c r="R117" s="43"/>
    </row>
    <row r="118" spans="2:18" x14ac:dyDescent="0.3">
      <c r="B118" s="223" t="str">
        <f>IF(Lang="Français","Marge Statique (MS)","Static Margin")</f>
        <v>Marge Statique (MS)</v>
      </c>
      <c r="H118" s="43"/>
      <c r="I118" s="44"/>
      <c r="J118" s="43"/>
      <c r="L118" s="43"/>
      <c r="M118" s="43"/>
      <c r="N118" s="43"/>
      <c r="Q118" s="43"/>
      <c r="R118" s="43"/>
    </row>
    <row r="119" spans="2:18" x14ac:dyDescent="0.3">
      <c r="B119" s="223" t="str">
        <f>IF(Lang="Français","Portance Cnα","Lift Cnα")</f>
        <v>Portance Cnα</v>
      </c>
      <c r="H119" s="43"/>
      <c r="I119" s="44"/>
      <c r="J119" s="43"/>
      <c r="L119" s="43"/>
      <c r="M119" s="43"/>
      <c r="N119" s="43"/>
      <c r="Q119" s="43"/>
      <c r="R119" s="43"/>
    </row>
    <row r="120" spans="2:18" x14ac:dyDescent="0.3">
      <c r="B120" s="38"/>
      <c r="H120" s="43"/>
      <c r="I120" s="44"/>
      <c r="J120" s="43"/>
      <c r="L120" s="43"/>
      <c r="M120" s="43"/>
      <c r="N120" s="43"/>
      <c r="Q120" s="43"/>
      <c r="R120" s="43"/>
    </row>
    <row r="121" spans="2:18" x14ac:dyDescent="0.3">
      <c r="B121" s="24" t="str">
        <f>IF(Lang="Français","Données pour les graphiques :",IF(Lang="English","Data for plots:",""))</f>
        <v>Données pour les graphiques :</v>
      </c>
      <c r="H121" s="43"/>
      <c r="I121" s="44"/>
      <c r="J121" s="43"/>
      <c r="L121" s="43"/>
      <c r="M121" s="43"/>
      <c r="N121" s="43"/>
      <c r="Q121" s="43"/>
      <c r="R121" s="43"/>
    </row>
    <row r="122" spans="2:18" x14ac:dyDescent="0.3">
      <c r="H122" s="43"/>
      <c r="I122" s="44"/>
      <c r="J122" s="43"/>
      <c r="L122" s="43"/>
      <c r="M122" s="43"/>
      <c r="N122" s="43"/>
      <c r="Q122" s="43"/>
      <c r="R122" s="43"/>
    </row>
    <row r="123" spans="2:18" x14ac:dyDescent="0.3">
      <c r="B123" s="45"/>
      <c r="C123" s="45" t="s">
        <v>68</v>
      </c>
      <c r="D123" s="45" t="s">
        <v>69</v>
      </c>
      <c r="E123" s="92" t="s">
        <v>70</v>
      </c>
      <c r="K123" s="45"/>
    </row>
    <row r="124" spans="2:18" x14ac:dyDescent="0.3">
      <c r="B124" s="45" t="s">
        <v>72</v>
      </c>
      <c r="C124" s="46">
        <f>-Long_ogive</f>
        <v>-35</v>
      </c>
      <c r="D124" s="46">
        <v>0</v>
      </c>
      <c r="E124" s="93">
        <f t="shared" ref="E124:E136" si="0">-D124</f>
        <v>0</v>
      </c>
      <c r="K124" s="46"/>
    </row>
    <row r="125" spans="2:18" x14ac:dyDescent="0.3">
      <c r="B125" s="45" t="s">
        <v>72</v>
      </c>
      <c r="C125" s="46">
        <f>-Long_ogive</f>
        <v>-35</v>
      </c>
      <c r="D125" s="46">
        <f>D_og/2</f>
        <v>45</v>
      </c>
      <c r="E125" s="93">
        <f t="shared" si="0"/>
        <v>-45</v>
      </c>
      <c r="K125" s="46"/>
    </row>
    <row r="126" spans="2:18" x14ac:dyDescent="0.3">
      <c r="B126" s="45" t="s">
        <v>73</v>
      </c>
      <c r="C126" s="46">
        <f>IF(AND(RIGHT(Nb_diam,1)=".",X_j), -X_j, C125 )</f>
        <v>-35</v>
      </c>
      <c r="D126" s="46">
        <f>IF(AND(RIGHT(Nb_diam,1)=".",X_j), D1j/2, D125 )</f>
        <v>45</v>
      </c>
      <c r="E126" s="93">
        <f t="shared" si="0"/>
        <v>-45</v>
      </c>
      <c r="K126" s="46"/>
    </row>
    <row r="127" spans="2:18" x14ac:dyDescent="0.3">
      <c r="B127" s="45" t="s">
        <v>74</v>
      </c>
      <c r="C127" s="46">
        <f>IF(AND(RIGHT(Nb_diam,1)=".",X_j), -X_j-l_j, C126 )</f>
        <v>-185</v>
      </c>
      <c r="D127" s="46">
        <f>IF(AND(RIGHT(Nb_diam,1)=".",X_j), D2j/2, D126 )</f>
        <v>50</v>
      </c>
      <c r="E127" s="93">
        <f t="shared" si="0"/>
        <v>-50</v>
      </c>
      <c r="K127" s="46"/>
    </row>
    <row r="128" spans="2:18" x14ac:dyDescent="0.3">
      <c r="B128" s="45" t="s">
        <v>75</v>
      </c>
      <c r="C128" s="46">
        <f>IF(AND(RIGHT(Nb_diam,1)=".",X_r), -X_r, C127 )</f>
        <v>-500</v>
      </c>
      <c r="D128" s="46">
        <f>IF(AND(RIGHT(Nb_diam,1)=".",X_r), D1r/2, D127 )</f>
        <v>50</v>
      </c>
      <c r="E128" s="93">
        <f t="shared" si="0"/>
        <v>-50</v>
      </c>
      <c r="K128" s="46"/>
    </row>
    <row r="129" spans="2:11" x14ac:dyDescent="0.3">
      <c r="B129" s="45" t="s">
        <v>76</v>
      </c>
      <c r="C129" s="46">
        <f>IF(AND(RIGHT(Nb_diam,1)=".",X_r), -X_r-l_r, C128 )</f>
        <v>-550</v>
      </c>
      <c r="D129" s="46">
        <f>IF(AND(RIGHT(Nb_diam,1)=".",X_r), D2r/2, D128 )</f>
        <v>50</v>
      </c>
      <c r="E129" s="93">
        <f t="shared" si="0"/>
        <v>-50</v>
      </c>
      <c r="K129" s="46"/>
    </row>
    <row r="130" spans="2:11" x14ac:dyDescent="0.3">
      <c r="B130" s="45" t="s">
        <v>77</v>
      </c>
      <c r="C130" s="46">
        <f>-Long_tot</f>
        <v>-2195</v>
      </c>
      <c r="D130" s="46">
        <f>D129</f>
        <v>50</v>
      </c>
      <c r="E130" s="93">
        <f t="shared" si="0"/>
        <v>-50</v>
      </c>
      <c r="K130" s="46"/>
    </row>
    <row r="131" spans="2:11" x14ac:dyDescent="0.3">
      <c r="B131" s="45" t="s">
        <v>77</v>
      </c>
      <c r="C131" s="46">
        <f>-Long_tot</f>
        <v>-2195</v>
      </c>
      <c r="D131" s="46">
        <v>0</v>
      </c>
      <c r="E131" s="93">
        <f t="shared" si="0"/>
        <v>0</v>
      </c>
      <c r="K131" s="46"/>
    </row>
    <row r="132" spans="2:11" x14ac:dyDescent="0.3">
      <c r="B132" s="183" t="s">
        <v>78</v>
      </c>
      <c r="C132" s="197">
        <f>-X_ail+m_ail</f>
        <v>-1895</v>
      </c>
      <c r="D132" s="197">
        <f>D_ail/2</f>
        <v>50</v>
      </c>
      <c r="E132" s="198">
        <f t="shared" si="0"/>
        <v>-50</v>
      </c>
      <c r="K132" s="46"/>
    </row>
    <row r="133" spans="2:11" x14ac:dyDescent="0.3">
      <c r="B133" s="185" t="s">
        <v>79</v>
      </c>
      <c r="C133" s="46">
        <f>-X_ail+m_ail-p_ail</f>
        <v>-1965</v>
      </c>
      <c r="D133" s="46">
        <f>D_ail/2+E_ail</f>
        <v>178</v>
      </c>
      <c r="E133" s="199">
        <f t="shared" si="0"/>
        <v>-178</v>
      </c>
      <c r="K133" s="46"/>
    </row>
    <row r="134" spans="2:11" x14ac:dyDescent="0.3">
      <c r="B134" s="185" t="s">
        <v>80</v>
      </c>
      <c r="C134" s="46">
        <f>-X_ail+m_ail-p_ail-n_ail</f>
        <v>-2115</v>
      </c>
      <c r="D134" s="46">
        <f>D_ail/2+E_ail</f>
        <v>178</v>
      </c>
      <c r="E134" s="199">
        <f t="shared" si="0"/>
        <v>-178</v>
      </c>
      <c r="K134" s="46"/>
    </row>
    <row r="135" spans="2:11" x14ac:dyDescent="0.3">
      <c r="B135" s="185" t="s">
        <v>81</v>
      </c>
      <c r="C135" s="46">
        <f>-X_ail</f>
        <v>-2185</v>
      </c>
      <c r="D135" s="46">
        <f>D_ail/2</f>
        <v>50</v>
      </c>
      <c r="E135" s="199">
        <f t="shared" si="0"/>
        <v>-50</v>
      </c>
      <c r="K135" s="46"/>
    </row>
    <row r="136" spans="2:11" x14ac:dyDescent="0.3">
      <c r="B136" s="187" t="s">
        <v>78</v>
      </c>
      <c r="C136" s="200">
        <f>-X_ail+m_ail</f>
        <v>-1895</v>
      </c>
      <c r="D136" s="200">
        <f>D_ail/2</f>
        <v>50</v>
      </c>
      <c r="E136" s="201">
        <f t="shared" si="0"/>
        <v>-50</v>
      </c>
      <c r="K136" s="46"/>
    </row>
    <row r="137" spans="2:11" x14ac:dyDescent="0.3">
      <c r="B137" s="192" t="str">
        <f>IF(E_ail&gt;0,IF(Lang="Français","Envergure","Span"),"")</f>
        <v>Envergure</v>
      </c>
      <c r="C137" s="197">
        <f>MIN(-X_ail,-X_ail+m_ail-p_ail-n_ail)-Long_tot/30</f>
        <v>-2258.1666666666665</v>
      </c>
      <c r="D137" s="207">
        <f>-D_ail/2-E_ail</f>
        <v>-178</v>
      </c>
      <c r="E137" s="93"/>
      <c r="K137" s="46"/>
    </row>
    <row r="138" spans="2:11" x14ac:dyDescent="0.3">
      <c r="B138" s="195" t="s">
        <v>166</v>
      </c>
      <c r="C138" s="46">
        <f>MIN(-X_ail,-X_ail+m_ail-p_ail-n_ail)-Long_tot/30</f>
        <v>-2258.1666666666665</v>
      </c>
      <c r="D138" s="208">
        <f>-D_ail/2-E_ail/2</f>
        <v>-114</v>
      </c>
      <c r="E138" s="93"/>
      <c r="K138" s="46"/>
    </row>
    <row r="139" spans="2:11" x14ac:dyDescent="0.3">
      <c r="B139" s="212" t="s">
        <v>162</v>
      </c>
      <c r="C139" s="200">
        <f>MIN(-X_ail,-X_ail+m_ail-p_ail-n_ail)-Long_tot/30</f>
        <v>-2258.1666666666665</v>
      </c>
      <c r="D139" s="209">
        <f>-D_ail/2</f>
        <v>-50</v>
      </c>
      <c r="E139" s="93"/>
      <c r="K139" s="46"/>
    </row>
    <row r="140" spans="2:11" x14ac:dyDescent="0.3">
      <c r="B140" s="192" t="str">
        <f>IF(Lang="Français","Emplanture","Root edge")</f>
        <v>Emplanture</v>
      </c>
      <c r="C140" s="197">
        <f>-X_ail+m_ail</f>
        <v>-1895</v>
      </c>
      <c r="D140" s="207">
        <f>D_ail/2+E_ail+Long_tot/20</f>
        <v>287.75</v>
      </c>
      <c r="E140" s="93"/>
      <c r="K140" s="46"/>
    </row>
    <row r="141" spans="2:11" x14ac:dyDescent="0.3">
      <c r="B141" s="195" t="s">
        <v>168</v>
      </c>
      <c r="C141" s="46">
        <f>-X_ail+m_ail/2</f>
        <v>-2040</v>
      </c>
      <c r="D141" s="208">
        <f>D_ail/2+E_ail+Long_tot/20</f>
        <v>287.75</v>
      </c>
      <c r="E141" s="93"/>
      <c r="K141" s="46"/>
    </row>
    <row r="142" spans="2:11" x14ac:dyDescent="0.3">
      <c r="B142" s="212" t="s">
        <v>169</v>
      </c>
      <c r="C142" s="200">
        <f>-X_ail</f>
        <v>-2185</v>
      </c>
      <c r="D142" s="209">
        <f>D_ail/2+E_ail+Long_tot/20</f>
        <v>287.75</v>
      </c>
      <c r="E142" s="93"/>
      <c r="K142" s="46"/>
    </row>
    <row r="143" spans="2:11" x14ac:dyDescent="0.3">
      <c r="B143" s="192" t="str">
        <f>IF(p_ail&lt;&gt;0,IF(Lang="Français","Flèche","Offset"),"")</f>
        <v>Flèche</v>
      </c>
      <c r="C143" s="197">
        <f>-X_ail+m_ail</f>
        <v>-1895</v>
      </c>
      <c r="D143" s="207">
        <f>-D_ail/2-E_ail-Long_tot/30</f>
        <v>-251.16666666666669</v>
      </c>
      <c r="E143" s="93"/>
      <c r="K143" s="46"/>
    </row>
    <row r="144" spans="2:11" x14ac:dyDescent="0.3">
      <c r="B144" s="195" t="s">
        <v>165</v>
      </c>
      <c r="C144" s="46">
        <f>-X_ail+m_ail-p_ail/2</f>
        <v>-1930</v>
      </c>
      <c r="D144" s="208">
        <f>-D_ail/2-E_ail-Long_tot/30</f>
        <v>-251.16666666666669</v>
      </c>
      <c r="E144" s="93"/>
      <c r="K144" s="46"/>
    </row>
    <row r="145" spans="2:11" x14ac:dyDescent="0.3">
      <c r="B145" s="212" t="s">
        <v>163</v>
      </c>
      <c r="C145" s="200">
        <f>-X_ail+m_ail-p_ail</f>
        <v>-1965</v>
      </c>
      <c r="D145" s="209">
        <f>-D_ail/2-E_ail-Long_tot/30</f>
        <v>-251.16666666666669</v>
      </c>
      <c r="E145" s="93"/>
      <c r="K145" s="46"/>
    </row>
    <row r="146" spans="2:11" x14ac:dyDescent="0.3">
      <c r="B146" s="192" t="str">
        <f>IF(n_ail&gt;0,IF(Lang="Français","Saumon","Tip edge"),"")</f>
        <v>Saumon</v>
      </c>
      <c r="C146" s="197">
        <f>-X_ail+m_ail-p_ail</f>
        <v>-1965</v>
      </c>
      <c r="D146" s="207">
        <f>-D_ail/2-E_ail-Long_tot/20</f>
        <v>-287.75</v>
      </c>
      <c r="E146" s="93"/>
      <c r="K146" s="46"/>
    </row>
    <row r="147" spans="2:11" x14ac:dyDescent="0.3">
      <c r="B147" s="195" t="s">
        <v>167</v>
      </c>
      <c r="C147" s="46">
        <f>-X_ail+m_ail-p_ail-n_ail/2</f>
        <v>-2040</v>
      </c>
      <c r="D147" s="208">
        <f>-D_ail/2-E_ail-Long_tot/20</f>
        <v>-287.75</v>
      </c>
      <c r="E147" s="93"/>
      <c r="K147" s="46"/>
    </row>
    <row r="148" spans="2:11" x14ac:dyDescent="0.3">
      <c r="B148" s="212" t="s">
        <v>164</v>
      </c>
      <c r="C148" s="200">
        <f>-X_ail+m_ail-p_ail-n_ail</f>
        <v>-2115</v>
      </c>
      <c r="D148" s="209">
        <f>-D_ail/2-E_ail-Long_tot/20</f>
        <v>-287.75</v>
      </c>
      <c r="E148" s="93"/>
      <c r="K148" s="46"/>
    </row>
    <row r="149" spans="2:11" x14ac:dyDescent="0.3">
      <c r="B149" s="183" t="s">
        <v>82</v>
      </c>
      <c r="C149" s="197">
        <f ca="1">-XcgPlein</f>
        <v>-1349.0726306465899</v>
      </c>
      <c r="D149" s="207">
        <v>0</v>
      </c>
      <c r="E149" s="93"/>
      <c r="K149" s="46"/>
    </row>
    <row r="150" spans="2:11" x14ac:dyDescent="0.3">
      <c r="B150" s="187" t="s">
        <v>83</v>
      </c>
      <c r="C150" s="200">
        <f ca="1">-XcgVide</f>
        <v>-1274.1055900621116</v>
      </c>
      <c r="D150" s="209">
        <v>0</v>
      </c>
      <c r="E150" s="93"/>
      <c r="K150" s="46"/>
    </row>
    <row r="151" spans="2:11" x14ac:dyDescent="0.3">
      <c r="B151" s="183" t="s">
        <v>84</v>
      </c>
      <c r="C151" s="197">
        <f>-XCp</f>
        <v>-1761.3903210851804</v>
      </c>
      <c r="D151" s="207">
        <v>0</v>
      </c>
      <c r="E151" s="93"/>
      <c r="K151" s="46"/>
    </row>
    <row r="152" spans="2:11" x14ac:dyDescent="0.3">
      <c r="B152" s="187" t="s">
        <v>84</v>
      </c>
      <c r="C152" s="200">
        <f>-XCp</f>
        <v>-1761.3903210851804</v>
      </c>
      <c r="D152" s="209">
        <f>Cn*D_ref/CritCnmin</f>
        <v>117.11610114861153</v>
      </c>
      <c r="E152" s="93"/>
      <c r="K152" s="46"/>
    </row>
    <row r="153" spans="2:11" x14ac:dyDescent="0.3">
      <c r="B153" s="185" t="s">
        <v>420</v>
      </c>
      <c r="C153" s="46">
        <f>-XCp0</f>
        <v>-1761.3903210851804</v>
      </c>
      <c r="D153" s="208">
        <f>Cn0*D_ref/CritCnmin</f>
        <v>117.11610114861153</v>
      </c>
      <c r="E153" s="93"/>
      <c r="K153" s="46"/>
    </row>
    <row r="154" spans="2:11" x14ac:dyDescent="0.3">
      <c r="B154" s="185" t="s">
        <v>420</v>
      </c>
      <c r="C154" s="46">
        <f>-XCp0</f>
        <v>-1761.3903210851804</v>
      </c>
      <c r="D154" s="208">
        <v>0</v>
      </c>
      <c r="E154" s="93"/>
      <c r="K154" s="46"/>
    </row>
    <row r="155" spans="2:11" x14ac:dyDescent="0.3">
      <c r="B155" s="192" t="str">
        <f>IF(n_ail&gt;0,IF(Lang="Français","Marge Statique","Static Margin"),"")</f>
        <v>Marge Statique</v>
      </c>
      <c r="C155" s="197">
        <f ca="1">(-XcgPlein-XcgVide)/2</f>
        <v>-1311.5891103543509</v>
      </c>
      <c r="D155" s="207">
        <f>-D_ail/2-E_ail-Long_tot/20</f>
        <v>-287.75</v>
      </c>
      <c r="E155" s="93"/>
      <c r="K155" s="46"/>
    </row>
    <row r="156" spans="2:11" x14ac:dyDescent="0.3">
      <c r="B156" s="195" t="s">
        <v>170</v>
      </c>
      <c r="C156" s="46">
        <f ca="1">(C155+C157)/2</f>
        <v>-1536.4897157197656</v>
      </c>
      <c r="D156" s="208">
        <f>-D_ail/2-E_ail-Long_tot/20</f>
        <v>-287.75</v>
      </c>
      <c r="E156" s="93"/>
      <c r="K156" s="46"/>
    </row>
    <row r="157" spans="2:11" x14ac:dyDescent="0.3">
      <c r="B157" s="212" t="s">
        <v>171</v>
      </c>
      <c r="C157" s="200">
        <f>-XCp</f>
        <v>-1761.3903210851804</v>
      </c>
      <c r="D157" s="209">
        <f>-D_ail/2-E_ail-Long_tot/20</f>
        <v>-287.75</v>
      </c>
      <c r="E157" s="93"/>
      <c r="K157" s="46"/>
    </row>
    <row r="158" spans="2:11" x14ac:dyDescent="0.3">
      <c r="B158" s="183" t="s">
        <v>85</v>
      </c>
      <c r="C158" s="197">
        <f>IF(LEFT(Type_masquage,1)="M",0,-X_can+m_can)</f>
        <v>0</v>
      </c>
      <c r="D158" s="197">
        <f>IF(LEFT(Type_masquage,1)="M",0,D_ail/2)</f>
        <v>0</v>
      </c>
      <c r="E158" s="198">
        <f t="shared" ref="E158:E167" si="1">-D158</f>
        <v>0</v>
      </c>
      <c r="K158" s="46"/>
    </row>
    <row r="159" spans="2:11" x14ac:dyDescent="0.3">
      <c r="B159" s="185" t="s">
        <v>86</v>
      </c>
      <c r="C159" s="46">
        <f>IF(LEFT(Type_masquage,1)="M",0,-X_can+m_can-p_can)</f>
        <v>0</v>
      </c>
      <c r="D159" s="46">
        <f>IF(LEFT(Type_masquage,1)="M",0,D_ail/2+E_can)</f>
        <v>0</v>
      </c>
      <c r="E159" s="199">
        <f t="shared" si="1"/>
        <v>0</v>
      </c>
      <c r="K159" s="46"/>
    </row>
    <row r="160" spans="2:11" x14ac:dyDescent="0.3">
      <c r="B160" s="185" t="s">
        <v>87</v>
      </c>
      <c r="C160" s="46">
        <f>IF(LEFT(Type_masquage,1)="M",0,-X_can+m_can-p_can-n_can)</f>
        <v>0</v>
      </c>
      <c r="D160" s="46">
        <f>IF(LEFT(Type_masquage,1)="M",0,D_ail/2+E_can)</f>
        <v>0</v>
      </c>
      <c r="E160" s="199">
        <f t="shared" si="1"/>
        <v>0</v>
      </c>
      <c r="K160" s="46"/>
    </row>
    <row r="161" spans="2:11" x14ac:dyDescent="0.3">
      <c r="B161" s="185" t="s">
        <v>88</v>
      </c>
      <c r="C161" s="46">
        <f>IF(LEFT(Type_masquage,1)="M",0,-X_can)</f>
        <v>0</v>
      </c>
      <c r="D161" s="46">
        <f>IF(LEFT(Type_masquage,1)="M",0,D_ail/2)</f>
        <v>0</v>
      </c>
      <c r="E161" s="199">
        <f t="shared" si="1"/>
        <v>0</v>
      </c>
      <c r="K161" s="46"/>
    </row>
    <row r="162" spans="2:11" x14ac:dyDescent="0.3">
      <c r="B162" s="187" t="s">
        <v>85</v>
      </c>
      <c r="C162" s="200">
        <f>IF(LEFT(Type_masquage,1)="M",0,-X_can+m_can)</f>
        <v>0</v>
      </c>
      <c r="D162" s="200">
        <f>IF(LEFT(Type_masquage,1)="M",0,D_ail/2)</f>
        <v>0</v>
      </c>
      <c r="E162" s="201">
        <f t="shared" si="1"/>
        <v>0</v>
      </c>
      <c r="K162" s="46"/>
    </row>
    <row r="163" spans="2:11" x14ac:dyDescent="0.3">
      <c r="B163" s="183" t="s">
        <v>89</v>
      </c>
      <c r="C163" s="197">
        <f>IF(LEFT(Type_masquage,1)="B",-X_int+m_int,0)</f>
        <v>0</v>
      </c>
      <c r="D163" s="197">
        <f>IF(LEFT(Type_masquage,1)="B",D_int/2,0)</f>
        <v>0</v>
      </c>
      <c r="E163" s="198">
        <f t="shared" si="1"/>
        <v>0</v>
      </c>
      <c r="K163" s="46"/>
    </row>
    <row r="164" spans="2:11" x14ac:dyDescent="0.3">
      <c r="B164" s="185" t="s">
        <v>90</v>
      </c>
      <c r="C164" s="46">
        <f>IF(LEFT(Type_masquage,1)="B",-X_int+m_int-p_int,0)</f>
        <v>0</v>
      </c>
      <c r="D164" s="46">
        <f>IF(LEFT(Type_masquage,1)="B",D_int/2+E_int,0)</f>
        <v>0</v>
      </c>
      <c r="E164" s="199">
        <f t="shared" si="1"/>
        <v>0</v>
      </c>
      <c r="K164" s="46"/>
    </row>
    <row r="165" spans="2:11" x14ac:dyDescent="0.3">
      <c r="B165" s="185" t="s">
        <v>91</v>
      </c>
      <c r="C165" s="46">
        <f>IF(LEFT(Type_masquage,1)="B",-X_int+m_int-p_int-n_int,0)</f>
        <v>0</v>
      </c>
      <c r="D165" s="46">
        <f>IF(LEFT(Type_masquage,1)="B",D_int/2+E_int,0)</f>
        <v>0</v>
      </c>
      <c r="E165" s="199">
        <f t="shared" si="1"/>
        <v>0</v>
      </c>
      <c r="K165" s="46"/>
    </row>
    <row r="166" spans="2:11" x14ac:dyDescent="0.3">
      <c r="B166" s="185" t="s">
        <v>92</v>
      </c>
      <c r="C166" s="46">
        <f>IF(LEFT(Type_masquage,1)="B",-X_int,0)</f>
        <v>0</v>
      </c>
      <c r="D166" s="46">
        <f>IF(LEFT(Type_masquage,1)="B",D_int/2,0)</f>
        <v>0</v>
      </c>
      <c r="E166" s="199">
        <f t="shared" si="1"/>
        <v>0</v>
      </c>
      <c r="K166" s="46"/>
    </row>
    <row r="167" spans="2:11" x14ac:dyDescent="0.3">
      <c r="B167" s="187" t="s">
        <v>89</v>
      </c>
      <c r="C167" s="200">
        <f>IF(LEFT(Type_masquage,1)="B",-X_int+m_int,0)</f>
        <v>0</v>
      </c>
      <c r="D167" s="200">
        <f>IF(LEFT(Type_masquage,1)="B",D_int/2,0)</f>
        <v>0</v>
      </c>
      <c r="E167" s="201">
        <f t="shared" si="1"/>
        <v>0</v>
      </c>
      <c r="K167" s="46"/>
    </row>
    <row r="168" spans="2:11" x14ac:dyDescent="0.3">
      <c r="B168" s="45" t="s">
        <v>93</v>
      </c>
      <c r="C168" s="46">
        <f>-MAX(Long_tot, X_ail-m_ail+p_ail+n_ail, (E_ail+D_ail/2)*3.2)*1.01</f>
        <v>-2216.9499999999998</v>
      </c>
      <c r="D168" s="46">
        <f>MAX(E_ail+D_ail/2, Long_tot/3)</f>
        <v>731.66666666666663</v>
      </c>
      <c r="E168" s="93"/>
      <c r="K168" s="46"/>
    </row>
    <row r="169" spans="2:11" x14ac:dyDescent="0.3">
      <c r="B169" s="45" t="s">
        <v>93</v>
      </c>
      <c r="C169" s="46">
        <f>C168</f>
        <v>-2216.9499999999998</v>
      </c>
      <c r="D169" s="46">
        <f>-D168</f>
        <v>-731.66666666666663</v>
      </c>
      <c r="E169" s="93"/>
      <c r="K169" s="46"/>
    </row>
    <row r="170" spans="2:11" x14ac:dyDescent="0.3">
      <c r="B170" s="183" t="s">
        <v>94</v>
      </c>
      <c r="C170" s="197">
        <f ca="1">-XpropuRef+Long_propu</f>
        <v>-1707</v>
      </c>
      <c r="D170" s="207">
        <f ca="1">-Diam_propu/2</f>
        <v>-27</v>
      </c>
      <c r="E170" s="93"/>
      <c r="K170" s="46"/>
    </row>
    <row r="171" spans="2:11" x14ac:dyDescent="0.3">
      <c r="B171" s="185" t="s">
        <v>95</v>
      </c>
      <c r="C171" s="46">
        <f ca="1">-XpropuRef+Long_propu</f>
        <v>-1707</v>
      </c>
      <c r="D171" s="208">
        <f ca="1">Diam_propu/2</f>
        <v>27</v>
      </c>
      <c r="E171" s="93"/>
      <c r="K171" s="46"/>
    </row>
    <row r="172" spans="2:11" x14ac:dyDescent="0.3">
      <c r="B172" s="185" t="s">
        <v>96</v>
      </c>
      <c r="C172" s="46">
        <f>-XpropuRef</f>
        <v>-2195</v>
      </c>
      <c r="D172" s="208">
        <f ca="1">Diam_propu/2</f>
        <v>27</v>
      </c>
      <c r="E172" s="93"/>
      <c r="K172" s="46"/>
    </row>
    <row r="173" spans="2:11" x14ac:dyDescent="0.3">
      <c r="B173" s="185" t="s">
        <v>97</v>
      </c>
      <c r="C173" s="46">
        <f>-XpropuRef</f>
        <v>-2195</v>
      </c>
      <c r="D173" s="208">
        <f ca="1">-Diam_propu/2</f>
        <v>-27</v>
      </c>
      <c r="E173" s="93"/>
      <c r="K173" s="46"/>
    </row>
    <row r="174" spans="2:11" x14ac:dyDescent="0.3">
      <c r="B174" s="187" t="s">
        <v>98</v>
      </c>
      <c r="C174" s="200">
        <f ca="1">-XpropuRef+Long_propu</f>
        <v>-1707</v>
      </c>
      <c r="D174" s="209">
        <f ca="1">-Diam_propu/2</f>
        <v>-27</v>
      </c>
      <c r="E174" s="93"/>
      <c r="F174" s="192" t="s">
        <v>159</v>
      </c>
      <c r="G174" s="193" t="s">
        <v>160</v>
      </c>
      <c r="H174" s="194" t="s">
        <v>161</v>
      </c>
      <c r="K174" s="46"/>
    </row>
    <row r="175" spans="2:11" x14ac:dyDescent="0.3">
      <c r="B175" s="183" t="s">
        <v>71</v>
      </c>
      <c r="C175" s="197">
        <v>0</v>
      </c>
      <c r="D175" s="197">
        <v>0</v>
      </c>
      <c r="E175" s="198">
        <f t="shared" ref="E175:E180" si="2">-D175</f>
        <v>0</v>
      </c>
      <c r="F175" s="195">
        <v>0</v>
      </c>
      <c r="G175" s="45">
        <v>0</v>
      </c>
      <c r="H175" s="189">
        <v>0</v>
      </c>
      <c r="K175" s="46"/>
    </row>
    <row r="176" spans="2:11" x14ac:dyDescent="0.3">
      <c r="B176" s="185" t="s">
        <v>72</v>
      </c>
      <c r="C176" s="46">
        <f>-Long_ogive*0.1</f>
        <v>-3.5</v>
      </c>
      <c r="D176" s="46">
        <f>IF(LEFT(Forme_ogive,5)="Parab",H176,IF(LEFT(Forme_ogive,4)="Ogiv",G176,IF(LEFT(Forme_ogive,3)="Con",F176)))</f>
        <v>22.5</v>
      </c>
      <c r="E176" s="199">
        <f t="shared" si="2"/>
        <v>-22.5</v>
      </c>
      <c r="F176" s="185">
        <f>D_og/2*0.1</f>
        <v>4.5</v>
      </c>
      <c r="G176" s="45">
        <f>D_og/2*0.2</f>
        <v>9</v>
      </c>
      <c r="H176" s="189">
        <f>D_og/2*0.5</f>
        <v>22.5</v>
      </c>
      <c r="K176" s="46"/>
    </row>
    <row r="177" spans="2:11" x14ac:dyDescent="0.3">
      <c r="B177" s="185" t="s">
        <v>72</v>
      </c>
      <c r="C177" s="46">
        <f>-Long_ogive/4</f>
        <v>-8.75</v>
      </c>
      <c r="D177" s="46">
        <f>IF(LEFT(Forme_ogive,5)="Parab",H177,IF(LEFT(Forme_ogive,4)="Ogiv",G177,IF(LEFT(Forme_ogive,3)="Con",F177)))</f>
        <v>31.499999999999996</v>
      </c>
      <c r="E177" s="199">
        <f t="shared" si="2"/>
        <v>-31.499999999999996</v>
      </c>
      <c r="F177" s="185">
        <f>D_og/2*1/4</f>
        <v>11.25</v>
      </c>
      <c r="G177" s="45">
        <f>D_og/2/2</f>
        <v>22.5</v>
      </c>
      <c r="H177" s="189">
        <f>D_og/2*0.7</f>
        <v>31.499999999999996</v>
      </c>
      <c r="K177" s="46"/>
    </row>
    <row r="178" spans="2:11" x14ac:dyDescent="0.3">
      <c r="B178" s="185" t="s">
        <v>72</v>
      </c>
      <c r="C178" s="46">
        <f>-Long_ogive/2</f>
        <v>-17.5</v>
      </c>
      <c r="D178" s="46">
        <f>IF(LEFT(Forme_ogive,5)="Parab",H178,IF(LEFT(Forme_ogive,4)="Ogiv",G178,IF(LEFT(Forme_ogive,3)="Con",F178)))</f>
        <v>39.6</v>
      </c>
      <c r="E178" s="199">
        <f t="shared" si="2"/>
        <v>-39.6</v>
      </c>
      <c r="F178" s="185">
        <f>D_og/2/2</f>
        <v>22.5</v>
      </c>
      <c r="G178" s="45">
        <f>D_og/2*3/4</f>
        <v>33.75</v>
      </c>
      <c r="H178" s="189">
        <f>D_og/2*0.88</f>
        <v>39.6</v>
      </c>
      <c r="K178" s="46"/>
    </row>
    <row r="179" spans="2:11" x14ac:dyDescent="0.3">
      <c r="B179" s="185" t="s">
        <v>72</v>
      </c>
      <c r="C179" s="46">
        <f>-Long_ogive*3/4</f>
        <v>-26.25</v>
      </c>
      <c r="D179" s="46">
        <f>IF(LEFT(Forme_ogive,5)="Parab",H179,IF(LEFT(Forme_ogive,4)="Ogiv",G179,IF(LEFT(Forme_ogive,3)="Con",F179)))</f>
        <v>42.75</v>
      </c>
      <c r="E179" s="199">
        <f t="shared" si="2"/>
        <v>-42.75</v>
      </c>
      <c r="F179" s="185">
        <f>D_og/2*3/4</f>
        <v>33.75</v>
      </c>
      <c r="G179" s="45">
        <f>D_og/2*0.9</f>
        <v>40.5</v>
      </c>
      <c r="H179" s="189">
        <f>D_og/2*0.95</f>
        <v>42.75</v>
      </c>
      <c r="K179" s="46"/>
    </row>
    <row r="180" spans="2:11" x14ac:dyDescent="0.3">
      <c r="B180" s="187" t="s">
        <v>72</v>
      </c>
      <c r="C180" s="200">
        <f>-Long_ogive</f>
        <v>-35</v>
      </c>
      <c r="D180" s="200">
        <f>D_og/2</f>
        <v>45</v>
      </c>
      <c r="E180" s="201">
        <f t="shared" si="2"/>
        <v>-45</v>
      </c>
      <c r="F180" s="187">
        <f>D_og/2</f>
        <v>45</v>
      </c>
      <c r="G180" s="196">
        <f>D_og/2</f>
        <v>45</v>
      </c>
      <c r="H180" s="190">
        <f>D_og/2</f>
        <v>45</v>
      </c>
      <c r="K180" s="26"/>
    </row>
    <row r="181" spans="2:11" x14ac:dyDescent="0.3">
      <c r="B181" s="45" t="s">
        <v>99</v>
      </c>
      <c r="C181" s="45" t="s">
        <v>100</v>
      </c>
      <c r="D181" s="183" t="s">
        <v>99</v>
      </c>
      <c r="E181" s="204" t="s">
        <v>100</v>
      </c>
      <c r="K181" s="45"/>
    </row>
    <row r="182" spans="2:11" x14ac:dyDescent="0.3">
      <c r="B182" s="183">
        <v>0</v>
      </c>
      <c r="C182" s="202">
        <f>CritCnmin</f>
        <v>15</v>
      </c>
      <c r="D182" s="185">
        <v>0.5</v>
      </c>
      <c r="E182" s="205">
        <f t="shared" ref="E182:E187" si="3">CritMsCnmin/D182</f>
        <v>80</v>
      </c>
      <c r="K182" s="45"/>
    </row>
    <row r="183" spans="2:11" x14ac:dyDescent="0.3">
      <c r="B183" s="187">
        <v>7</v>
      </c>
      <c r="C183" s="196">
        <f>CritCnmin</f>
        <v>15</v>
      </c>
      <c r="D183" s="185">
        <v>1</v>
      </c>
      <c r="E183" s="205">
        <f t="shared" si="3"/>
        <v>40</v>
      </c>
      <c r="K183" s="45"/>
    </row>
    <row r="184" spans="2:11" x14ac:dyDescent="0.3">
      <c r="B184" s="183">
        <v>0</v>
      </c>
      <c r="C184" s="202">
        <f>CritCnmax</f>
        <v>40</v>
      </c>
      <c r="D184" s="185">
        <v>2</v>
      </c>
      <c r="E184" s="205">
        <f t="shared" si="3"/>
        <v>20</v>
      </c>
      <c r="K184" s="45"/>
    </row>
    <row r="185" spans="2:11" x14ac:dyDescent="0.3">
      <c r="B185" s="187">
        <v>7</v>
      </c>
      <c r="C185" s="196">
        <f>CritCnmax</f>
        <v>40</v>
      </c>
      <c r="D185" s="185">
        <v>3</v>
      </c>
      <c r="E185" s="205">
        <f t="shared" si="3"/>
        <v>13.333333333333334</v>
      </c>
      <c r="K185" s="45"/>
    </row>
    <row r="186" spans="2:11" x14ac:dyDescent="0.3">
      <c r="B186" s="183">
        <f>CritMsmin</f>
        <v>2</v>
      </c>
      <c r="C186" s="202">
        <v>0</v>
      </c>
      <c r="D186" s="185">
        <v>5</v>
      </c>
      <c r="E186" s="205">
        <f t="shared" si="3"/>
        <v>8</v>
      </c>
      <c r="K186" s="45"/>
    </row>
    <row r="187" spans="2:11" x14ac:dyDescent="0.3">
      <c r="B187" s="187">
        <f>CritMsmin</f>
        <v>2</v>
      </c>
      <c r="C187" s="196">
        <v>55</v>
      </c>
      <c r="D187" s="185">
        <v>7</v>
      </c>
      <c r="E187" s="205">
        <f t="shared" si="3"/>
        <v>5.7142857142857144</v>
      </c>
      <c r="K187" s="45"/>
    </row>
    <row r="188" spans="2:11" x14ac:dyDescent="0.3">
      <c r="B188" s="183">
        <f>CritMsmax</f>
        <v>6</v>
      </c>
      <c r="C188" s="202">
        <v>0</v>
      </c>
      <c r="D188" s="185">
        <v>1</v>
      </c>
      <c r="E188" s="205">
        <f t="shared" ref="E188:E193" si="4">CritMsCnmax/D188</f>
        <v>100</v>
      </c>
      <c r="K188" s="45"/>
    </row>
    <row r="189" spans="2:11" x14ac:dyDescent="0.3">
      <c r="B189" s="187">
        <f>CritMsmax</f>
        <v>6</v>
      </c>
      <c r="C189" s="196">
        <v>55</v>
      </c>
      <c r="D189" s="185">
        <v>2</v>
      </c>
      <c r="E189" s="205">
        <f t="shared" si="4"/>
        <v>50</v>
      </c>
      <c r="K189" s="45"/>
    </row>
    <row r="190" spans="2:11" x14ac:dyDescent="0.3">
      <c r="B190" s="191">
        <f ca="1">MS_min</f>
        <v>4.1231769043859048</v>
      </c>
      <c r="C190" s="203">
        <f>Cn</f>
        <v>17.567415172291732</v>
      </c>
      <c r="D190" s="185">
        <v>3</v>
      </c>
      <c r="E190" s="205">
        <f t="shared" si="4"/>
        <v>33.333333333333336</v>
      </c>
      <c r="K190" s="45"/>
    </row>
    <row r="191" spans="2:11" x14ac:dyDescent="0.3">
      <c r="B191" s="512">
        <f ca="1">(XCp0-XcgPlein)/D_ref</f>
        <v>4.1231769043859048</v>
      </c>
      <c r="C191" s="513">
        <f>Cn0</f>
        <v>17.567415172291732</v>
      </c>
      <c r="D191" s="185">
        <v>4</v>
      </c>
      <c r="E191" s="205">
        <f t="shared" si="4"/>
        <v>25</v>
      </c>
      <c r="K191" s="45"/>
    </row>
    <row r="192" spans="2:11" x14ac:dyDescent="0.3">
      <c r="B192" s="512">
        <f ca="1">(XCp0-XcgVide)/D_ref</f>
        <v>4.8728473102306884</v>
      </c>
      <c r="C192" s="513">
        <f>Cn0</f>
        <v>17.567415172291732</v>
      </c>
      <c r="D192" s="185">
        <v>6</v>
      </c>
      <c r="E192" s="205">
        <f t="shared" si="4"/>
        <v>16.666666666666668</v>
      </c>
      <c r="K192" s="45"/>
    </row>
    <row r="193" spans="2:11" x14ac:dyDescent="0.3">
      <c r="B193" s="512">
        <f ca="1">(XCp-XcgVide)/D_ref</f>
        <v>4.8728473102306884</v>
      </c>
      <c r="C193" s="513">
        <f>Cn</f>
        <v>17.567415172291732</v>
      </c>
      <c r="D193" s="187">
        <v>7</v>
      </c>
      <c r="E193" s="206">
        <f t="shared" si="4"/>
        <v>14.285714285714286</v>
      </c>
      <c r="K193" s="45"/>
    </row>
    <row r="194" spans="2:11" x14ac:dyDescent="0.3">
      <c r="B194" s="512">
        <f ca="1">MS_min</f>
        <v>4.1231769043859048</v>
      </c>
      <c r="C194" s="514">
        <f>Cn</f>
        <v>17.567415172291732</v>
      </c>
      <c r="D194" s="45"/>
      <c r="E194" s="92"/>
      <c r="K194" s="45"/>
    </row>
    <row r="195" spans="2:11" x14ac:dyDescent="0.3">
      <c r="B195" s="183">
        <v>0</v>
      </c>
      <c r="C195" s="202">
        <f>(CritCnmin+CritCnmax)/2</f>
        <v>27.5</v>
      </c>
      <c r="D195" s="26"/>
      <c r="E195" s="90"/>
      <c r="K195" s="26"/>
    </row>
    <row r="196" spans="2:11" x14ac:dyDescent="0.3">
      <c r="B196" s="185">
        <f>MAX(CritMsmin,CritMsCnmin/C196)</f>
        <v>2</v>
      </c>
      <c r="C196" s="45">
        <f>(CritCnmin+CritCnmax)/2</f>
        <v>27.5</v>
      </c>
      <c r="D196" s="26"/>
      <c r="E196" s="90"/>
      <c r="K196" s="26"/>
    </row>
    <row r="197" spans="2:11" x14ac:dyDescent="0.3">
      <c r="B197" s="185">
        <f>MIN(CritMsmax,CritMsCnmax/C197)</f>
        <v>3.6363636363636362</v>
      </c>
      <c r="C197" s="189">
        <f>(CritCnmin+CritCnmax)/2</f>
        <v>27.5</v>
      </c>
    </row>
    <row r="198" spans="2:11" x14ac:dyDescent="0.3">
      <c r="B198" s="187">
        <v>7</v>
      </c>
      <c r="C198" s="190">
        <f>(CritCnmin+CritCnmax)/2</f>
        <v>27.5</v>
      </c>
    </row>
    <row r="199" spans="2:11" x14ac:dyDescent="0.3">
      <c r="B199" s="183">
        <f>(CritMsmin+CritMsmax)/2</f>
        <v>4</v>
      </c>
      <c r="C199" s="184">
        <v>0</v>
      </c>
    </row>
    <row r="200" spans="2:11" x14ac:dyDescent="0.3">
      <c r="B200" s="185">
        <f>(CritMsmin+CritMsmax)/2</f>
        <v>4</v>
      </c>
      <c r="C200" s="186">
        <f>MAX(CritCnmin,CritMsCnmin/B200)</f>
        <v>15</v>
      </c>
    </row>
    <row r="201" spans="2:11" x14ac:dyDescent="0.3">
      <c r="B201" s="185">
        <f>(CritMsmin+CritMsmax)/2</f>
        <v>4</v>
      </c>
      <c r="C201" s="186">
        <f>MIN(CritCnmax,CritMsCnmax/B201)</f>
        <v>25</v>
      </c>
    </row>
    <row r="202" spans="2:11" x14ac:dyDescent="0.3">
      <c r="B202" s="187">
        <f>(CritMsmin+CritMsmax)/2</f>
        <v>4</v>
      </c>
      <c r="C202" s="188">
        <v>55</v>
      </c>
    </row>
    <row r="203" spans="2:11" x14ac:dyDescent="0.3">
      <c r="D203" s="474"/>
    </row>
    <row r="204" spans="2:11" x14ac:dyDescent="0.3">
      <c r="B204" s="476" t="s">
        <v>403</v>
      </c>
      <c r="C204" s="31" t="b">
        <f ca="1">(OR(C205:C210))</f>
        <v>1</v>
      </c>
      <c r="D204" s="474"/>
    </row>
    <row r="205" spans="2:11" x14ac:dyDescent="0.3">
      <c r="B205" s="475" t="s">
        <v>400</v>
      </c>
      <c r="C205" s="474" t="b">
        <f ca="1">AND(Type_propu="H2O",RIGHT(Type_fusee,1)=" ")</f>
        <v>0</v>
      </c>
      <c r="D205" s="474"/>
    </row>
    <row r="206" spans="2:11" x14ac:dyDescent="0.3">
      <c r="B206" s="475" t="s">
        <v>118</v>
      </c>
      <c r="C206" s="474" t="b">
        <f ca="1">AND(Type_propu="Fusex",RIGHT(Type_fusee,1)=".")</f>
        <v>1</v>
      </c>
      <c r="D206" s="474"/>
    </row>
    <row r="207" spans="2:11" x14ac:dyDescent="0.3">
      <c r="B207" s="475" t="s">
        <v>401</v>
      </c>
      <c r="C207" s="474" t="b">
        <f ca="1">LEFT(Type_propu,5)=LEFT(Type_fusee,5)</f>
        <v>0</v>
      </c>
      <c r="D207" s="474"/>
    </row>
    <row r="208" spans="2:11" x14ac:dyDescent="0.3">
      <c r="B208" s="475" t="s">
        <v>402</v>
      </c>
      <c r="C208" s="474" t="b">
        <f ca="1">AND(RIGHT(Type_propu,1)="N",LEFT(Type_fusee,4)="Mini")</f>
        <v>0</v>
      </c>
      <c r="D208" s="474"/>
    </row>
    <row r="209" spans="1:3" x14ac:dyDescent="0.3">
      <c r="B209" s="475" t="s">
        <v>404</v>
      </c>
      <c r="C209" s="474" t="b">
        <f ca="1">AND(LEFT(Type_propu,5)="MiniR",LEFT(Type_fusee,1)="R")</f>
        <v>0</v>
      </c>
    </row>
    <row r="210" spans="1:3" x14ac:dyDescent="0.3">
      <c r="B210" s="475" t="s">
        <v>394</v>
      </c>
      <c r="C210" s="474" t="b">
        <f ca="1">AND(LEFT(Type_propu,4)="Mini",LEFT(Type_fusee,1)=",")</f>
        <v>0</v>
      </c>
    </row>
    <row r="223" spans="1:3" x14ac:dyDescent="0.3">
      <c r="A223" s="24" t="s">
        <v>461</v>
      </c>
    </row>
    <row r="226" spans="1:1" x14ac:dyDescent="0.3">
      <c r="A226" s="24" t="s">
        <v>474</v>
      </c>
    </row>
    <row r="228" spans="1:1" x14ac:dyDescent="0.3">
      <c r="A228" s="24" t="s">
        <v>475</v>
      </c>
    </row>
    <row r="230" spans="1:1" x14ac:dyDescent="0.3">
      <c r="A230" s="24" t="s">
        <v>476</v>
      </c>
    </row>
    <row r="232" spans="1:1" x14ac:dyDescent="0.3">
      <c r="A232" s="24" t="s">
        <v>477</v>
      </c>
    </row>
    <row r="233" spans="1:1" x14ac:dyDescent="0.3">
      <c r="A233" s="24" t="s">
        <v>478</v>
      </c>
    </row>
    <row r="234" spans="1:1" x14ac:dyDescent="0.3">
      <c r="A234" s="24" t="s">
        <v>479</v>
      </c>
    </row>
    <row r="235" spans="1:1" x14ac:dyDescent="0.3">
      <c r="A235" s="24" t="s">
        <v>480</v>
      </c>
    </row>
    <row r="236" spans="1:1" x14ac:dyDescent="0.3">
      <c r="A236" s="24" t="s">
        <v>481</v>
      </c>
    </row>
    <row r="237" spans="1:1" x14ac:dyDescent="0.3">
      <c r="A237" s="24" t="s">
        <v>482</v>
      </c>
    </row>
    <row r="238" spans="1:1" x14ac:dyDescent="0.3">
      <c r="A238" s="24" t="s">
        <v>183</v>
      </c>
    </row>
    <row r="239" spans="1:1" x14ac:dyDescent="0.3">
      <c r="A239" s="24" t="s">
        <v>483</v>
      </c>
    </row>
    <row r="240" spans="1:1" x14ac:dyDescent="0.3">
      <c r="A240" s="24" t="s">
        <v>484</v>
      </c>
    </row>
    <row r="241" spans="1:1" x14ac:dyDescent="0.3">
      <c r="A241" s="24" t="s">
        <v>183</v>
      </c>
    </row>
    <row r="242" spans="1:1" x14ac:dyDescent="0.3">
      <c r="A242" s="24" t="s">
        <v>485</v>
      </c>
    </row>
    <row r="244" spans="1:1" x14ac:dyDescent="0.3">
      <c r="A244" s="24" t="s">
        <v>486</v>
      </c>
    </row>
    <row r="246" spans="1:1" x14ac:dyDescent="0.3">
      <c r="A246" s="24" t="s">
        <v>487</v>
      </c>
    </row>
    <row r="248" spans="1:1" x14ac:dyDescent="0.3">
      <c r="A248" s="24" t="s">
        <v>488</v>
      </c>
    </row>
    <row r="249" spans="1:1" x14ac:dyDescent="0.3">
      <c r="A249" s="24" t="s">
        <v>489</v>
      </c>
    </row>
    <row r="250" spans="1:1" x14ac:dyDescent="0.3">
      <c r="A250" s="24" t="s">
        <v>490</v>
      </c>
    </row>
    <row r="251" spans="1:1" x14ac:dyDescent="0.3">
      <c r="A251" s="24" t="s">
        <v>491</v>
      </c>
    </row>
    <row r="252" spans="1:1" x14ac:dyDescent="0.3">
      <c r="A252" s="24" t="s">
        <v>492</v>
      </c>
    </row>
    <row r="254" spans="1:1" x14ac:dyDescent="0.3">
      <c r="A254" s="24" t="s">
        <v>493</v>
      </c>
    </row>
    <row r="255" spans="1:1" x14ac:dyDescent="0.3">
      <c r="A255" s="24" t="s">
        <v>494</v>
      </c>
    </row>
    <row r="256" spans="1:1" x14ac:dyDescent="0.3">
      <c r="A256" s="24" t="s">
        <v>495</v>
      </c>
    </row>
    <row r="257" spans="1:1" x14ac:dyDescent="0.3">
      <c r="A257" s="24" t="s">
        <v>496</v>
      </c>
    </row>
    <row r="258" spans="1:1" x14ac:dyDescent="0.3">
      <c r="A258" s="24" t="s">
        <v>497</v>
      </c>
    </row>
    <row r="261" spans="1:1" x14ac:dyDescent="0.3">
      <c r="A261" s="24" t="s">
        <v>498</v>
      </c>
    </row>
    <row r="262" spans="1:1" x14ac:dyDescent="0.3">
      <c r="A262" s="24" t="s">
        <v>499</v>
      </c>
    </row>
    <row r="263" spans="1:1" x14ac:dyDescent="0.3">
      <c r="A263" s="24" t="s">
        <v>500</v>
      </c>
    </row>
    <row r="264" spans="1:1" x14ac:dyDescent="0.3">
      <c r="A264" s="24" t="s">
        <v>501</v>
      </c>
    </row>
    <row r="265" spans="1:1" x14ac:dyDescent="0.3">
      <c r="A265" s="24" t="s">
        <v>502</v>
      </c>
    </row>
    <row r="267" spans="1:1" x14ac:dyDescent="0.3">
      <c r="A267" s="24" t="s">
        <v>495</v>
      </c>
    </row>
    <row r="268" spans="1:1" x14ac:dyDescent="0.3">
      <c r="A268" s="24" t="s">
        <v>496</v>
      </c>
    </row>
    <row r="269" spans="1:1" x14ac:dyDescent="0.3">
      <c r="A269" s="24" t="s">
        <v>503</v>
      </c>
    </row>
    <row r="272" spans="1:1" x14ac:dyDescent="0.3">
      <c r="A272" s="24" t="s">
        <v>463</v>
      </c>
    </row>
    <row r="273" spans="1:1" x14ac:dyDescent="0.3">
      <c r="A273" s="24" t="s">
        <v>464</v>
      </c>
    </row>
    <row r="275" spans="1:1" x14ac:dyDescent="0.3">
      <c r="A275" s="24" t="s">
        <v>504</v>
      </c>
    </row>
    <row r="277" spans="1:1" x14ac:dyDescent="0.3">
      <c r="A277" s="24" t="s">
        <v>503</v>
      </c>
    </row>
    <row r="280" spans="1:1" x14ac:dyDescent="0.3">
      <c r="A280" s="24" t="s">
        <v>465</v>
      </c>
    </row>
    <row r="281" spans="1:1" x14ac:dyDescent="0.3">
      <c r="A281" s="24" t="s">
        <v>466</v>
      </c>
    </row>
    <row r="282" spans="1:1" x14ac:dyDescent="0.3">
      <c r="A282" s="24" t="s">
        <v>505</v>
      </c>
    </row>
    <row r="283" spans="1:1" x14ac:dyDescent="0.3">
      <c r="A283" s="24" t="s">
        <v>506</v>
      </c>
    </row>
    <row r="284" spans="1:1" x14ac:dyDescent="0.3">
      <c r="A284" s="24" t="s">
        <v>503</v>
      </c>
    </row>
    <row r="285" spans="1:1" x14ac:dyDescent="0.3">
      <c r="A285" s="24" t="s">
        <v>467</v>
      </c>
    </row>
    <row r="287" spans="1:1" x14ac:dyDescent="0.3">
      <c r="A287" s="24" t="s">
        <v>507</v>
      </c>
    </row>
    <row r="288" spans="1:1" x14ac:dyDescent="0.3">
      <c r="A288" s="24" t="s">
        <v>505</v>
      </c>
    </row>
    <row r="289" spans="1:1" x14ac:dyDescent="0.3">
      <c r="A289" s="24" t="s">
        <v>508</v>
      </c>
    </row>
    <row r="291" spans="1:1" x14ac:dyDescent="0.3">
      <c r="A291" s="24" t="s">
        <v>503</v>
      </c>
    </row>
    <row r="294" spans="1:1" x14ac:dyDescent="0.3">
      <c r="A294" s="24" t="s">
        <v>509</v>
      </c>
    </row>
    <row r="295" spans="1:1" x14ac:dyDescent="0.3">
      <c r="A295" s="24" t="s">
        <v>510</v>
      </c>
    </row>
    <row r="296" spans="1:1" x14ac:dyDescent="0.3">
      <c r="A296" s="24" t="s">
        <v>511</v>
      </c>
    </row>
    <row r="298" spans="1:1" x14ac:dyDescent="0.3">
      <c r="A298" s="24" t="s">
        <v>503</v>
      </c>
    </row>
    <row r="301" spans="1:1" x14ac:dyDescent="0.3">
      <c r="A301" s="24" t="s">
        <v>512</v>
      </c>
    </row>
    <row r="302" spans="1:1" x14ac:dyDescent="0.3">
      <c r="A302" s="24" t="s">
        <v>513</v>
      </c>
    </row>
    <row r="304" spans="1:1" x14ac:dyDescent="0.3">
      <c r="A304" s="24" t="s">
        <v>514</v>
      </c>
    </row>
    <row r="305" spans="1:1" x14ac:dyDescent="0.3">
      <c r="A305" s="24" t="s">
        <v>515</v>
      </c>
    </row>
    <row r="306" spans="1:1" x14ac:dyDescent="0.3">
      <c r="A306" s="24" t="s">
        <v>503</v>
      </c>
    </row>
    <row r="309" spans="1:1" x14ac:dyDescent="0.3">
      <c r="A309" s="24" t="s">
        <v>512</v>
      </c>
    </row>
    <row r="310" spans="1:1" x14ac:dyDescent="0.3">
      <c r="A310" s="24" t="s">
        <v>516</v>
      </c>
    </row>
    <row r="311" spans="1:1" x14ac:dyDescent="0.3">
      <c r="A311" s="24" t="s">
        <v>512</v>
      </c>
    </row>
    <row r="312" spans="1:1" x14ac:dyDescent="0.3">
      <c r="A312" s="24" t="s">
        <v>517</v>
      </c>
    </row>
    <row r="314" spans="1:1" x14ac:dyDescent="0.3">
      <c r="A314" s="24" t="s">
        <v>518</v>
      </c>
    </row>
    <row r="316" spans="1:1" x14ac:dyDescent="0.3">
      <c r="A316" s="24" t="s">
        <v>503</v>
      </c>
    </row>
    <row r="319" spans="1:1" x14ac:dyDescent="0.3">
      <c r="A319" s="24" t="s">
        <v>512</v>
      </c>
    </row>
    <row r="320" spans="1:1" x14ac:dyDescent="0.3">
      <c r="A320" s="24" t="s">
        <v>519</v>
      </c>
    </row>
    <row r="321" spans="1:1" x14ac:dyDescent="0.3">
      <c r="A321" s="24" t="s">
        <v>520</v>
      </c>
    </row>
    <row r="322" spans="1:1" x14ac:dyDescent="0.3">
      <c r="A322" s="24" t="s">
        <v>521</v>
      </c>
    </row>
    <row r="324" spans="1:1" x14ac:dyDescent="0.3">
      <c r="A324" s="24" t="s">
        <v>503</v>
      </c>
    </row>
    <row r="326" spans="1:1" x14ac:dyDescent="0.3">
      <c r="A326" s="24" t="s">
        <v>462</v>
      </c>
    </row>
    <row r="329" spans="1:1" x14ac:dyDescent="0.3">
      <c r="A329" s="24" t="s">
        <v>468</v>
      </c>
    </row>
    <row r="330" spans="1:1" x14ac:dyDescent="0.3">
      <c r="A330" s="24" t="s">
        <v>469</v>
      </c>
    </row>
    <row r="331" spans="1:1" x14ac:dyDescent="0.3">
      <c r="A331" s="24" t="s">
        <v>522</v>
      </c>
    </row>
    <row r="332" spans="1:1" x14ac:dyDescent="0.3">
      <c r="A332" s="24" t="s">
        <v>523</v>
      </c>
    </row>
    <row r="333" spans="1:1" x14ac:dyDescent="0.3">
      <c r="A333" s="24" t="s">
        <v>524</v>
      </c>
    </row>
    <row r="334" spans="1:1" x14ac:dyDescent="0.3">
      <c r="A334" s="24" t="s">
        <v>525</v>
      </c>
    </row>
    <row r="335" spans="1:1" x14ac:dyDescent="0.3">
      <c r="A335" s="24" t="s">
        <v>526</v>
      </c>
    </row>
    <row r="336" spans="1:1" x14ac:dyDescent="0.3">
      <c r="A336" s="24" t="s">
        <v>479</v>
      </c>
    </row>
    <row r="337" spans="1:1" x14ac:dyDescent="0.3">
      <c r="A337" s="24" t="s">
        <v>470</v>
      </c>
    </row>
    <row r="340" spans="1:1" x14ac:dyDescent="0.3">
      <c r="A340" s="24" t="s">
        <v>471</v>
      </c>
    </row>
    <row r="342" spans="1:1" x14ac:dyDescent="0.3">
      <c r="A342" s="24" t="s">
        <v>527</v>
      </c>
    </row>
    <row r="343" spans="1:1" x14ac:dyDescent="0.3">
      <c r="A343" s="24" t="s">
        <v>528</v>
      </c>
    </row>
    <row r="344" spans="1:1" x14ac:dyDescent="0.3">
      <c r="A344" s="24" t="s">
        <v>529</v>
      </c>
    </row>
    <row r="345" spans="1:1" x14ac:dyDescent="0.3">
      <c r="A345" s="24" t="s">
        <v>530</v>
      </c>
    </row>
    <row r="346" spans="1:1" x14ac:dyDescent="0.3">
      <c r="A346" s="24" t="s">
        <v>531</v>
      </c>
    </row>
    <row r="347" spans="1:1" x14ac:dyDescent="0.3">
      <c r="A347" s="24" t="s">
        <v>479</v>
      </c>
    </row>
    <row r="348" spans="1:1" x14ac:dyDescent="0.3">
      <c r="A348" s="24" t="s">
        <v>472</v>
      </c>
    </row>
    <row r="349" spans="1:1" x14ac:dyDescent="0.3">
      <c r="A349" s="24" t="s">
        <v>532</v>
      </c>
    </row>
    <row r="350" spans="1:1" x14ac:dyDescent="0.3">
      <c r="A350" s="24" t="s">
        <v>533</v>
      </c>
    </row>
    <row r="352" spans="1:1" x14ac:dyDescent="0.3">
      <c r="A352" s="24" t="s">
        <v>503</v>
      </c>
    </row>
    <row r="355" spans="1:1" x14ac:dyDescent="0.3">
      <c r="A355" s="24" t="s">
        <v>462</v>
      </c>
    </row>
    <row r="361" spans="1:1" x14ac:dyDescent="0.3">
      <c r="A361" s="24" t="s">
        <v>473</v>
      </c>
    </row>
  </sheetData>
  <sheetProtection algorithmName="SHA-512" hashValue="lr7AUTmqQKWCln9lxU/pkY39SNhSvguOSf0niYW80GvK2cC/MbUIRDjvwd1bIGz8aqjd6a7y3D66efnX6zcc6g==" saltValue="kioZ43ZFarxjOdpvjH0yzw==" spinCount="100000" sheet="1" objects="1" scenarios="1"/>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751114</xdr:colOff>
                    <xdr:row>22</xdr:row>
                    <xdr:rowOff>0</xdr:rowOff>
                  </from>
                  <to>
                    <xdr:col>3</xdr:col>
                    <xdr:colOff>898071</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751114</xdr:colOff>
                    <xdr:row>11</xdr:row>
                    <xdr:rowOff>0</xdr:rowOff>
                  </from>
                  <to>
                    <xdr:col>2</xdr:col>
                    <xdr:colOff>898071</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751114</xdr:colOff>
                    <xdr:row>12</xdr:row>
                    <xdr:rowOff>0</xdr:rowOff>
                  </from>
                  <to>
                    <xdr:col>2</xdr:col>
                    <xdr:colOff>898071</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751114</xdr:colOff>
                    <xdr:row>22</xdr:row>
                    <xdr:rowOff>157843</xdr:rowOff>
                  </from>
                  <to>
                    <xdr:col>3</xdr:col>
                    <xdr:colOff>898071</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756557</xdr:colOff>
                    <xdr:row>27</xdr:row>
                    <xdr:rowOff>0</xdr:rowOff>
                  </from>
                  <to>
                    <xdr:col>3</xdr:col>
                    <xdr:colOff>0</xdr:colOff>
                    <xdr:row>28</xdr:row>
                    <xdr:rowOff>5443</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756557</xdr:colOff>
                    <xdr:row>28</xdr:row>
                    <xdr:rowOff>0</xdr:rowOff>
                  </from>
                  <to>
                    <xdr:col>3</xdr:col>
                    <xdr:colOff>0</xdr:colOff>
                    <xdr:row>29</xdr:row>
                    <xdr:rowOff>5443</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756557</xdr:colOff>
                    <xdr:row>28</xdr:row>
                    <xdr:rowOff>163286</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756557</xdr:colOff>
                    <xdr:row>30</xdr:row>
                    <xdr:rowOff>0</xdr:rowOff>
                  </from>
                  <to>
                    <xdr:col>3</xdr:col>
                    <xdr:colOff>0</xdr:colOff>
                    <xdr:row>30</xdr:row>
                    <xdr:rowOff>157843</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756557</xdr:colOff>
                    <xdr:row>31</xdr:row>
                    <xdr:rowOff>0</xdr:rowOff>
                  </from>
                  <to>
                    <xdr:col>2</xdr:col>
                    <xdr:colOff>898071</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756557</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756557</xdr:colOff>
                    <xdr:row>12</xdr:row>
                    <xdr:rowOff>157843</xdr:rowOff>
                  </from>
                  <to>
                    <xdr:col>4</xdr:col>
                    <xdr:colOff>0</xdr:colOff>
                    <xdr:row>13</xdr:row>
                    <xdr:rowOff>157843</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10886</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10886</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topLeftCell="B1" zoomScaleNormal="100" workbookViewId="0">
      <selection activeCell="H36" sqref="H36:I36"/>
    </sheetView>
  </sheetViews>
  <sheetFormatPr defaultColWidth="11.3828125" defaultRowHeight="12.45" x14ac:dyDescent="0.3"/>
  <cols>
    <col min="1" max="1" width="2.15234375" style="1" customWidth="1"/>
    <col min="2" max="2" width="16.15234375" style="1" customWidth="1"/>
    <col min="3" max="4" width="12.84375" style="1" customWidth="1"/>
    <col min="5" max="5" width="2.84375" style="1" customWidth="1"/>
    <col min="6" max="7" width="12.84375" style="1" customWidth="1"/>
    <col min="8" max="13" width="10.84375" style="1" customWidth="1"/>
    <col min="14" max="15" width="2.15234375" style="1" customWidth="1"/>
    <col min="16" max="17" width="14.15234375" style="1" customWidth="1"/>
    <col min="18" max="16384" width="11.3828125" style="1"/>
  </cols>
  <sheetData>
    <row r="1" spans="1:14" x14ac:dyDescent="0.3">
      <c r="A1" s="51"/>
      <c r="B1" s="52"/>
      <c r="C1" s="53"/>
      <c r="D1" s="52"/>
      <c r="E1" s="54"/>
      <c r="F1" s="54"/>
      <c r="G1" s="54"/>
      <c r="H1" s="54"/>
      <c r="I1" s="54"/>
      <c r="J1" s="54"/>
      <c r="K1" s="54"/>
      <c r="L1" s="54"/>
      <c r="M1" s="54"/>
      <c r="N1" s="55"/>
    </row>
    <row r="2" spans="1:14" ht="12.75" customHeight="1" x14ac:dyDescent="0.3">
      <c r="A2" s="56"/>
      <c r="B2" s="2"/>
      <c r="C2" s="598" t="s">
        <v>0</v>
      </c>
      <c r="D2" s="598"/>
      <c r="F2" s="3"/>
      <c r="J2" s="4"/>
      <c r="N2" s="57"/>
    </row>
    <row r="3" spans="1:14" ht="12.75" customHeight="1" x14ac:dyDescent="0.3">
      <c r="A3" s="56"/>
      <c r="B3" s="2"/>
      <c r="C3" s="598"/>
      <c r="D3" s="598"/>
      <c r="H3" s="5"/>
      <c r="J3" s="4"/>
      <c r="N3" s="57"/>
    </row>
    <row r="4" spans="1:14" ht="12.75" customHeight="1" x14ac:dyDescent="0.3">
      <c r="A4" s="56"/>
      <c r="B4" s="2"/>
      <c r="C4" s="603" t="str">
        <f>IF(Lang="Français","Trajectographie de fusée",IF(Lang="English","Rocket Trajectography",""))</f>
        <v>Trajectographie de fusée</v>
      </c>
      <c r="D4" s="603"/>
      <c r="H4" s="5"/>
      <c r="J4" s="4"/>
      <c r="N4" s="57"/>
    </row>
    <row r="5" spans="1:14" ht="12.75" customHeight="1" x14ac:dyDescent="0.3">
      <c r="A5" s="56"/>
      <c r="B5" s="2"/>
      <c r="C5" s="597"/>
      <c r="D5" s="597"/>
      <c r="J5" s="4"/>
      <c r="N5" s="57"/>
    </row>
    <row r="6" spans="1:14" ht="13" customHeight="1" x14ac:dyDescent="0.3">
      <c r="A6" s="56"/>
      <c r="B6" s="87"/>
      <c r="C6" s="602" t="str">
        <f>IF(Lang="Français","Remplir les cases jaunes",IF(Lang="English","Fill-in yellow cells only",""))</f>
        <v>Remplir les cases jaunes</v>
      </c>
      <c r="D6" s="602"/>
      <c r="J6" s="4"/>
      <c r="N6" s="57"/>
    </row>
    <row r="7" spans="1:14" x14ac:dyDescent="0.3">
      <c r="A7" s="56"/>
      <c r="B7" s="6"/>
      <c r="C7" s="599" t="str">
        <f>IF(Lang="Français","Fusée",IF(Lang="English","Rocket",""))</f>
        <v>Fusée</v>
      </c>
      <c r="D7" s="599"/>
      <c r="N7" s="58"/>
    </row>
    <row r="8" spans="1:14" ht="12.75" customHeight="1" x14ac:dyDescent="0.4">
      <c r="A8" s="56"/>
      <c r="B8" s="140" t="str">
        <f>IF(Lang="Français","Nom",IF(Lang="English","Name",""))</f>
        <v>Nom</v>
      </c>
      <c r="C8" s="600" t="str">
        <f>Nom</f>
        <v>Hellfire</v>
      </c>
      <c r="D8" s="600"/>
      <c r="E8" s="5"/>
      <c r="F8" s="5"/>
      <c r="J8" s="4"/>
      <c r="N8" s="57"/>
    </row>
    <row r="9" spans="1:14" ht="12.75" customHeight="1" x14ac:dyDescent="0.4">
      <c r="A9" s="59"/>
      <c r="B9" s="140" t="s">
        <v>4</v>
      </c>
      <c r="C9" s="601" t="str">
        <f>Club</f>
        <v>Acelspace</v>
      </c>
      <c r="D9" s="601"/>
      <c r="F9" s="5"/>
      <c r="N9" s="58"/>
    </row>
    <row r="10" spans="1:14" ht="12.75" customHeight="1" x14ac:dyDescent="0.4">
      <c r="A10" s="59"/>
      <c r="B10" s="141" t="s">
        <v>561</v>
      </c>
      <c r="C10" s="596" t="str">
        <f>Matricule</f>
        <v>FX10</v>
      </c>
      <c r="D10" s="596"/>
      <c r="F10" s="5"/>
      <c r="N10" s="58"/>
    </row>
    <row r="11" spans="1:14" ht="12.75" customHeight="1" x14ac:dyDescent="0.3">
      <c r="A11" s="59"/>
      <c r="B11" s="140" t="str">
        <f>IF(Lang="Français","Masse totale",IF(Lang="English","Total Mass",""))</f>
        <v>Masse totale</v>
      </c>
      <c r="C11" s="625">
        <f ca="1">MassePlein</f>
        <v>9.032</v>
      </c>
      <c r="D11" s="625"/>
      <c r="F11" s="5"/>
      <c r="N11" s="58"/>
    </row>
    <row r="12" spans="1:14" ht="12.75" customHeight="1" x14ac:dyDescent="0.3">
      <c r="A12" s="59"/>
      <c r="B12" s="227" t="str">
        <f>IF(Lang="Français","Propulseur",IF(Lang="English","Motor",""))</f>
        <v>Propulseur</v>
      </c>
      <c r="C12" s="628" t="str">
        <f>Propu</f>
        <v>Pro54-5G WT</v>
      </c>
      <c r="D12" s="629"/>
      <c r="F12" s="5"/>
      <c r="N12" s="58"/>
    </row>
    <row r="13" spans="1:14" ht="12.75" customHeight="1" x14ac:dyDescent="0.3">
      <c r="A13" s="59"/>
      <c r="N13" s="58"/>
    </row>
    <row r="14" spans="1:14" ht="12.75" customHeight="1" x14ac:dyDescent="0.3">
      <c r="A14" s="59"/>
      <c r="B14"/>
      <c r="C14" s="599" t="str">
        <f>IF(Lang="Français","Traînée Aérdynamique",IF(Lang="English","Drag",""))</f>
        <v>Traînée Aérdynamique</v>
      </c>
      <c r="D14" s="599"/>
      <c r="N14" s="58"/>
    </row>
    <row r="15" spans="1:14" ht="12.75" customHeight="1" x14ac:dyDescent="0.3">
      <c r="A15" s="59"/>
      <c r="B15" s="140" t="s">
        <v>40</v>
      </c>
      <c r="C15" s="630">
        <f>(PI()*D_ref^2/4+E_ail*ep_ail*Q_ail)/10^6</f>
        <v>8.8779816339744824E-3</v>
      </c>
      <c r="D15" s="630"/>
      <c r="N15" s="58"/>
    </row>
    <row r="16" spans="1:14" ht="12.75" customHeight="1" x14ac:dyDescent="0.3">
      <c r="A16" s="59"/>
      <c r="B16" s="141" t="s">
        <v>5</v>
      </c>
      <c r="C16" s="623">
        <v>0.7</v>
      </c>
      <c r="D16" s="624"/>
      <c r="N16" s="58"/>
    </row>
    <row r="17" spans="1:18" ht="12.75" customHeight="1" x14ac:dyDescent="0.3">
      <c r="A17" s="59"/>
      <c r="N17" s="58"/>
    </row>
    <row r="18" spans="1:18" ht="12.75" customHeight="1" x14ac:dyDescent="0.3">
      <c r="A18" s="59"/>
      <c r="B18"/>
      <c r="C18" s="599" t="str">
        <f>IF(Lang="Français","Rampe de Lancement",IF(Lang="English","Launch Pad",""))</f>
        <v>Rampe de Lancement</v>
      </c>
      <c r="D18" s="599"/>
      <c r="N18" s="58"/>
    </row>
    <row r="19" spans="1:18" ht="12.75" customHeight="1" x14ac:dyDescent="0.3">
      <c r="A19" s="59"/>
      <c r="B19" s="140" t="str">
        <f>IF(Lang="Français","Longueur",IF(Lang="English","Length",""))</f>
        <v>Longueur</v>
      </c>
      <c r="C19" s="627">
        <f>IF(RIGHT(Type_fusee,1)=".",4, IF(LEFT(Type_fusee,4)="Mini",2.5, IF(LEFT(Type_fusee,5)="Micro",1, IF(RIGHT(Type_fusee,1)=" ",0.1,IF(LEFT(Type_fusee,1)="R",3, 2.5)))))</f>
        <v>4</v>
      </c>
      <c r="D19" s="627"/>
      <c r="N19" s="58"/>
    </row>
    <row r="20" spans="1:18" ht="12.75" customHeight="1" x14ac:dyDescent="0.3">
      <c r="A20" s="59"/>
      <c r="B20" s="140" t="str">
        <f>IF(Lang="Français","Élévation",IF(Lang="English","Angle /horizon",""))</f>
        <v>Élévation</v>
      </c>
      <c r="C20" s="626">
        <v>80</v>
      </c>
      <c r="D20" s="626"/>
      <c r="N20" s="58"/>
    </row>
    <row r="21" spans="1:18" ht="12.75" customHeight="1" x14ac:dyDescent="0.3">
      <c r="A21" s="59"/>
      <c r="B21" s="140" t="s">
        <v>6</v>
      </c>
      <c r="C21" s="627">
        <v>0</v>
      </c>
      <c r="D21" s="627"/>
      <c r="N21" s="58"/>
    </row>
    <row r="22" spans="1:18" x14ac:dyDescent="0.3">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3">
      <c r="A23" s="59"/>
      <c r="C23" s="613" t="str">
        <f>IF(Lang="Français","DescenteSousParachute",IF(Lang="English","Over Parachute",""))</f>
        <v>DescenteSousParachute</v>
      </c>
      <c r="D23" s="614"/>
      <c r="F23" s="4"/>
      <c r="G23" s="50">
        <f ca="1">TODAY()</f>
        <v>45482</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419</v>
      </c>
      <c r="N23" s="58"/>
    </row>
    <row r="24" spans="1:18" x14ac:dyDescent="0.3">
      <c r="A24" s="59"/>
      <c r="B24"/>
      <c r="C24" s="142" t="str">
        <f>C7</f>
        <v>Fusée</v>
      </c>
      <c r="D24" s="220" t="s">
        <v>120</v>
      </c>
      <c r="E24" s="18" t="str">
        <f>IF(ABS(T_satellite-0.11-T_para)&lt;0.1,"Pb!","")</f>
        <v/>
      </c>
      <c r="F24" s="615" t="str">
        <f>IF(Lang="Français","Sortie de Rampe",IF(Lang="English","Launch-Pad Exit",""))</f>
        <v>Sortie de Rampe</v>
      </c>
      <c r="G24" s="616"/>
      <c r="H24" s="491"/>
      <c r="I24" s="491"/>
      <c r="J24" s="491"/>
      <c r="K24" s="492">
        <f ca="1">INDEX(vit_xz,MATCH("Sortie de rampe",Event,0))</f>
        <v>32.064499310696448</v>
      </c>
      <c r="L24" s="493"/>
      <c r="M24" s="500"/>
      <c r="N24" s="58"/>
    </row>
    <row r="25" spans="1:18" x14ac:dyDescent="0.3">
      <c r="A25" s="59"/>
      <c r="B25" s="466" t="str">
        <f>IF(Lang="Français","Masse",IF(Lang="English","Mass",""))</f>
        <v>Masse</v>
      </c>
      <c r="C25" s="467">
        <f ca="1">IF(Nb_sat="0 satellite",MasseVide,MasseVide-m_satellite)</f>
        <v>8.0500000000000007</v>
      </c>
      <c r="D25" s="480">
        <f>IF(RIGHT(Type_fusee,1)=".",1,0.15)</f>
        <v>1</v>
      </c>
      <c r="F25" s="619" t="str">
        <f>IF(Lang="Français","Vit max &amp; Acc max",IF(Lang="English","Max Velocity &amp; Acc",""))</f>
        <v>Vit max &amp; Acc max</v>
      </c>
      <c r="G25" s="620"/>
      <c r="H25" s="115"/>
      <c r="I25" s="115"/>
      <c r="J25" s="115"/>
      <c r="K25" s="158">
        <f ca="1">MAX(vit_xz)</f>
        <v>205.4711320347557</v>
      </c>
      <c r="L25" s="494">
        <f ca="1">MAX(acc_xz)</f>
        <v>140.81146137770136</v>
      </c>
      <c r="M25" s="500"/>
      <c r="N25" s="58"/>
    </row>
    <row r="26" spans="1:18" x14ac:dyDescent="0.3">
      <c r="A26" s="59"/>
      <c r="B26" s="469" t="str">
        <f>IF(Lang="Français","Dépotage",IF(Lang="English","Delay",""))</f>
        <v>Dépotage</v>
      </c>
      <c r="C26" s="505" t="s">
        <v>405</v>
      </c>
      <c r="D26" s="535"/>
      <c r="F26" s="621" t="str">
        <f>IF(Lang="Français","Largage du satellite",IF(Lang="English","Satellite separation",""))</f>
        <v>Largage du satellite</v>
      </c>
      <c r="G26" s="622"/>
      <c r="H26" s="152">
        <f>IF(T_satellite&lt;&gt;0,T_satellite,"")</f>
        <v>3.5</v>
      </c>
      <c r="I26" s="156">
        <f ca="1">IF(T_satellite&lt;&gt;0,INDEX(pos_z,MATCH("Satellite",Event_sat,0)),"")</f>
        <v>506.92255374292114</v>
      </c>
      <c r="J26" s="154">
        <f ca="1">IF(T_satellite&lt;&gt;0,INDEX(pos_x,MATCH("Satellite",Event_sat,0)),"")</f>
        <v>104.47427086787334</v>
      </c>
      <c r="K26" s="159">
        <f ca="1">IF(T_satellite&lt;&gt;0,INDEX(vit_xz,MATCH("Satellite",Event_sat,0)),"")</f>
        <v>160.25063119444829</v>
      </c>
      <c r="L26" s="495"/>
      <c r="M26" s="485">
        <f ca="1">1/2*Rho_moyen*1*V_ouv_sat^2*S_satellite</f>
        <v>1572.916218890919</v>
      </c>
      <c r="N26" s="58"/>
    </row>
    <row r="27" spans="1:18" x14ac:dyDescent="0.3">
      <c r="A27" s="59"/>
      <c r="B27" s="468" t="str">
        <f>IF(Lang="Français","Ouverture para",IF(Lang="English","Opening time",""))</f>
        <v>Ouverture para</v>
      </c>
      <c r="C27" s="507">
        <v>16</v>
      </c>
      <c r="D27" s="507">
        <v>3.5</v>
      </c>
      <c r="F27" s="619" t="s">
        <v>15</v>
      </c>
      <c r="G27" s="620"/>
      <c r="H27" s="153">
        <f ca="1">INDEX(t,MATCH("Apogée",Event,0))</f>
        <v>15.599999999999962</v>
      </c>
      <c r="I27" s="157">
        <f ca="1">INDEX(pos_z,MATCH("Apogée",Event,0))</f>
        <v>1336.2190763527988</v>
      </c>
      <c r="J27" s="155">
        <f ca="1">INDEX(pos_x,MATCH("Apogée",Event,0))</f>
        <v>433.0825800571597</v>
      </c>
      <c r="K27" s="160">
        <f ca="1">INDEX(vit_xz,MATCH("Apogée",Event,0))</f>
        <v>23.542286849940808</v>
      </c>
      <c r="L27" s="496"/>
      <c r="M27" s="500"/>
      <c r="N27" s="58"/>
    </row>
    <row r="28" spans="1:18" x14ac:dyDescent="0.3">
      <c r="A28" s="59"/>
      <c r="B28" s="534" t="s">
        <v>556</v>
      </c>
      <c r="C28" s="507" t="s">
        <v>557</v>
      </c>
      <c r="D28" s="507"/>
      <c r="F28" s="617" t="str">
        <f>IF(Lang="Français","Ouverture parachute fusée",IF(Lang="English","Rocket parachute opening",""))</f>
        <v>Ouverture parachute fusée</v>
      </c>
      <c r="G28" s="618"/>
      <c r="H28" s="152">
        <f>T_para</f>
        <v>16</v>
      </c>
      <c r="I28" s="156">
        <f ca="1">INDEX(pos_z,MATCH("Para",Event_para,0))</f>
        <v>1335.6988883574356</v>
      </c>
      <c r="J28" s="486">
        <f ca="1">INDEX(pos_x,MATCH("Para",Event_para,0))</f>
        <v>442.47747222968121</v>
      </c>
      <c r="K28" s="159">
        <f ca="1">INDEX(vit_xz,MATCH("Para",Event_para,0))</f>
        <v>23.66704433416033</v>
      </c>
      <c r="L28" s="495"/>
      <c r="M28" s="485">
        <f ca="1">1/2*Rho_moyen*1*V_ouverture^2*S_para</f>
        <v>682.72721965748042</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3">
      <c r="A29" s="59"/>
      <c r="B29" s="141" t="s">
        <v>9</v>
      </c>
      <c r="C29" s="225">
        <v>1.99</v>
      </c>
      <c r="D29" s="17">
        <f>IF(RIGHT(Type_fusee,1)=".",0.1,0.02)</f>
        <v>0.1</v>
      </c>
      <c r="F29" s="606" t="str">
        <f>IF(Lang="Français","Impact balistique",IF(Lang="English","Balistic Impact",""))</f>
        <v>Impact balistique</v>
      </c>
      <c r="G29" s="607"/>
      <c r="H29" s="497">
        <f ca="1">INDEX(t,MATCH("Impact balistique",Event,0))</f>
        <v>33.900000000000212</v>
      </c>
      <c r="I29" s="517" t="s">
        <v>426</v>
      </c>
      <c r="J29" s="487">
        <f ca="1">INDEX(pos_x,MATCH("Impact balistique",Event,0))</f>
        <v>780.60585379989482</v>
      </c>
      <c r="K29" s="501">
        <f ca="1">K47</f>
        <v>123.66874589009234</v>
      </c>
      <c r="L29" s="498"/>
      <c r="M29" s="502">
        <f ca="1">0.5*m_vide*K29^2</f>
        <v>61558.183807863636</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3">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3">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3">
      <c r="A32" s="59"/>
      <c r="B32" s="133" t="str">
        <f>IF(Lang="Français","Vitesse descente",IF(Lang="English","Fall velocity",""))</f>
        <v>Vitesse descente</v>
      </c>
      <c r="C32" s="424">
        <f ca="1">SQRT(2*m_vide*g/Rho_moyen/S_para/Cx_para)</f>
        <v>8.0492026063895192</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3">
      <c r="A33" s="59"/>
      <c r="B33" s="133" t="str">
        <f>IF(Lang="Français","Durée descente",IF(Lang="English","Fall duration",""))</f>
        <v>Durée descente</v>
      </c>
      <c r="C33" s="132">
        <f ca="1">Alt_para/V_para</f>
        <v>165.94176512554765</v>
      </c>
      <c r="D33" s="132">
        <f ca="1">IF(V_satellite&lt;&gt;0,Alt_sat/V_satellite,0)</f>
        <v>40.05531550366301</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3">
      <c r="A34" s="59"/>
      <c r="B34" s="133" t="str">
        <f>IF(Lang="Français","Durée du vol",IF(Lang="English","Fligth duration",""))</f>
        <v>Durée du vol</v>
      </c>
      <c r="C34" s="132">
        <f ca="1">T_para+Dt_para</f>
        <v>181.94176512554765</v>
      </c>
      <c r="D34" s="132">
        <f ca="1">T_satellite+Dt_satellite</f>
        <v>43.55531550366301</v>
      </c>
      <c r="F34" s="608" t="str">
        <f>IF(Lang="Français","Couleur fuselage/coiffe","Body/Nose color")</f>
        <v>Couleur fuselage/coiffe</v>
      </c>
      <c r="G34" s="608"/>
      <c r="H34" s="604" t="s">
        <v>571</v>
      </c>
      <c r="I34" s="605"/>
      <c r="J34" s="1"/>
      <c r="K34" s="1"/>
      <c r="L34" s="1"/>
      <c r="M34" s="1"/>
      <c r="N34" s="394"/>
    </row>
    <row r="35" spans="1:16" x14ac:dyDescent="0.3">
      <c r="A35" s="74"/>
      <c r="B35" s="133" t="str">
        <f>IF(Lang="Français","Déport latéral",IF(Lang="English","Lateral shift",""))</f>
        <v>Déport latéral</v>
      </c>
      <c r="C35" s="151">
        <f ca="1">Alt_para*V_vent/V_para</f>
        <v>829.70882562773829</v>
      </c>
      <c r="D35" s="151">
        <f ca="1">IF(V_satellite&lt;&gt;0,Alt_sat*V_vent_sat/V_satellite,0)</f>
        <v>200.27657751831507</v>
      </c>
      <c r="F35" s="608" t="str">
        <f>IF(Lang="Français","Couleur parachute fusée","Rocket parachute color")</f>
        <v>Couleur parachute fusée</v>
      </c>
      <c r="G35" s="608"/>
      <c r="H35" s="604" t="s">
        <v>572</v>
      </c>
      <c r="I35" s="605"/>
      <c r="J35"/>
      <c r="K35"/>
      <c r="L35"/>
      <c r="M35"/>
      <c r="N35" s="394" t="str">
        <f>IF(Lang="Français","fichier initial","Initial file")</f>
        <v>fichier initial</v>
      </c>
      <c r="P35"/>
    </row>
    <row r="36" spans="1:16" x14ac:dyDescent="0.3">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2.9" thickBot="1" x14ac:dyDescent="0.35">
      <c r="A37" s="60"/>
      <c r="B37" s="181" t="str">
        <f>IF(Lang="Français","Commentaire libre :",IF(Lang="English","Free comment:",""))</f>
        <v>Commentaire libre :</v>
      </c>
      <c r="C37" s="61"/>
      <c r="D37" s="61"/>
      <c r="E37" s="61"/>
      <c r="F37" s="61"/>
      <c r="G37" s="61"/>
      <c r="H37" s="61"/>
      <c r="I37" s="61"/>
      <c r="J37" s="61"/>
      <c r="K37" s="61"/>
      <c r="L37" s="61"/>
      <c r="M37" s="61"/>
      <c r="N37" s="290" t="s">
        <v>565</v>
      </c>
    </row>
    <row r="40" spans="1:16" x14ac:dyDescent="0.3">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3">
      <c r="A41" s="161"/>
      <c r="D41" s="162"/>
      <c r="F41" s="172"/>
      <c r="G41" s="173"/>
      <c r="H41" s="171" t="s">
        <v>153</v>
      </c>
      <c r="I41" s="136" t="s">
        <v>38</v>
      </c>
      <c r="J41" s="136" t="s">
        <v>38</v>
      </c>
      <c r="K41" s="136" t="s">
        <v>154</v>
      </c>
      <c r="L41" s="136" t="s">
        <v>7</v>
      </c>
      <c r="M41" s="136" t="s">
        <v>155</v>
      </c>
    </row>
    <row r="42" spans="1:16" x14ac:dyDescent="0.3">
      <c r="A42" s="161"/>
      <c r="D42" s="162"/>
      <c r="F42" s="633" t="str">
        <f>IF(Lang="Français","Décollage",IF(Lang="English","Lift-Off",""))</f>
        <v>Décollage</v>
      </c>
      <c r="G42" s="633"/>
      <c r="H42" s="150">
        <v>0</v>
      </c>
      <c r="I42" s="150">
        <v>0</v>
      </c>
      <c r="J42" s="150">
        <v>0</v>
      </c>
      <c r="K42" s="150">
        <v>0</v>
      </c>
      <c r="L42" s="148" t="s">
        <v>14</v>
      </c>
      <c r="M42" s="149">
        <f>Beta_rampe</f>
        <v>80</v>
      </c>
    </row>
    <row r="43" spans="1:16" x14ac:dyDescent="0.3">
      <c r="A43" s="161"/>
      <c r="B43" s="166" t="str">
        <f>IF(Lang="Français","Bord   'a'","Side length 'a'")</f>
        <v>Bord   'a'</v>
      </c>
      <c r="D43" s="162"/>
      <c r="F43" s="620" t="str">
        <f>IF(Lang="Français","Sortie de Rampe",IF(Lang="English","Launch-Pad Exit",""))</f>
        <v>Sortie de Rampe</v>
      </c>
      <c r="G43" s="620"/>
      <c r="H43" s="115">
        <f ca="1">INDEX(t,MATCH("Sortie de rampe",Event,0))</f>
        <v>0.25000000000000006</v>
      </c>
      <c r="I43" s="115">
        <f ca="1">INDEX(pos_z,MATCH("Sortie de rampe",Event,0))</f>
        <v>3.7337928365589774</v>
      </c>
      <c r="J43" s="115">
        <f ca="1">INDEX(pos_x,MATCH("Sortie de rampe",Event,0))</f>
        <v>0.65833360607187441</v>
      </c>
      <c r="K43" s="116">
        <f ca="1">INDEX(vit_xz,MATCH("Sortie de rampe",Event,0))</f>
        <v>32.064499310696448</v>
      </c>
      <c r="L43" s="116">
        <f ca="1">INDEX(acc_xz,MATCH("Sortie de rampe",Event,0))</f>
        <v>138.11877372484028</v>
      </c>
      <c r="M43" s="116">
        <f ca="1">INDEX(BetaD,MATCH("Sortie de rampe",Event,0))</f>
        <v>80</v>
      </c>
    </row>
    <row r="44" spans="1:16" x14ac:dyDescent="0.3">
      <c r="A44" s="161"/>
      <c r="B44" s="167">
        <v>249</v>
      </c>
      <c r="D44" s="162"/>
      <c r="F44" s="620" t="str">
        <f>IF(Lang="Français","Vit max &amp; Acc max",IF(Lang="English","Max Velocity &amp; Acc",""))</f>
        <v>Vit max &amp; Acc max</v>
      </c>
      <c r="G44" s="620"/>
      <c r="H44" s="115" t="s">
        <v>14</v>
      </c>
      <c r="I44" s="115" t="s">
        <v>14</v>
      </c>
      <c r="J44" s="115" t="s">
        <v>14</v>
      </c>
      <c r="K44" s="117">
        <f ca="1">MAX(vit_xz)</f>
        <v>205.4711320347557</v>
      </c>
      <c r="L44" s="118">
        <f ca="1">MAX(acc_xz)</f>
        <v>140.81146137770136</v>
      </c>
      <c r="M44" s="116" t="s">
        <v>14</v>
      </c>
    </row>
    <row r="45" spans="1:16" x14ac:dyDescent="0.3">
      <c r="A45" s="161"/>
      <c r="B45" s="166" t="str">
        <f>IF(Lang="Français","Coté   'b'","Side width 'b'")</f>
        <v>Coté   'b'</v>
      </c>
      <c r="D45" s="162"/>
      <c r="F45" s="620" t="str">
        <f>IF(Lang="Français","Fin de Propulsion",IF(Lang="English","Motor Burn-Out",""))</f>
        <v>Fin de Propulsion</v>
      </c>
      <c r="G45" s="620"/>
      <c r="H45" s="116">
        <f ca="1">INDEX(t,MATCH("Fin de propulsion",Event,0))</f>
        <v>1.7100000000000013</v>
      </c>
      <c r="I45" s="119">
        <f ca="1">INDEX(pos_z,MATCH("Fin de propulsion",Event,0))</f>
        <v>189.38750130893436</v>
      </c>
      <c r="J45" s="119">
        <f ca="1">INDEX(pos_x,MATCH("Fin de propulsion",Event,0))</f>
        <v>37.030571947081697</v>
      </c>
      <c r="K45" s="119">
        <f ca="1">INDEX(vit_xz,MATCH("Fin de propulsion",Event,0))</f>
        <v>204.78687763457981</v>
      </c>
      <c r="L45" s="116">
        <f ca="1">INDEX(acc_xz,MATCH("Fin de propulsion",Event,0))</f>
        <v>29.197036400878407</v>
      </c>
      <c r="M45" s="116">
        <f ca="1">INDEX(BetaD,MATCH("Fin de propulsion",Event,0))</f>
        <v>78.535199181674926</v>
      </c>
    </row>
    <row r="46" spans="1:16" x14ac:dyDescent="0.3">
      <c r="A46" s="161"/>
      <c r="B46" s="168">
        <v>199</v>
      </c>
      <c r="D46" s="162"/>
      <c r="F46" s="620" t="s">
        <v>15</v>
      </c>
      <c r="G46" s="620"/>
      <c r="H46" s="118">
        <f ca="1">INDEX(t,MATCH("Apogée",Event,0))</f>
        <v>15.599999999999962</v>
      </c>
      <c r="I46" s="117">
        <f ca="1">INDEX(pos_z,MATCH("Apogée",Event,0))</f>
        <v>1336.2190763527988</v>
      </c>
      <c r="J46" s="120">
        <f ca="1">INDEX(pos_x,MATCH("Apogée",Event,0))</f>
        <v>433.0825800571597</v>
      </c>
      <c r="K46" s="120">
        <f ca="1">INDEX(vit_xz,MATCH("Apogée",Event,0))</f>
        <v>23.542286849940808</v>
      </c>
      <c r="L46" s="116">
        <f ca="1">INDEX(acc_xz,MATCH("Apogée",Event,0))</f>
        <v>9.8287478938250583</v>
      </c>
      <c r="M46" s="121">
        <f ca="1">INDEX(BetaD,MATCH("Apogée",Event,0))</f>
        <v>1.6092676933642871</v>
      </c>
    </row>
    <row r="47" spans="1:16" x14ac:dyDescent="0.3">
      <c r="A47" s="161"/>
      <c r="B47" s="169" t="s">
        <v>9</v>
      </c>
      <c r="D47" s="162"/>
      <c r="F47" s="635" t="str">
        <f>IF(Lang="Français","Impact balistique",IF(Lang="English","Balistic Impact",""))</f>
        <v>Impact balistique</v>
      </c>
      <c r="G47" s="635"/>
      <c r="H47" s="116">
        <f ca="1">INDEX(t,MATCH("Impact balistique",Event,0))</f>
        <v>33.900000000000212</v>
      </c>
      <c r="I47" s="148" t="s">
        <v>16</v>
      </c>
      <c r="J47" s="117">
        <f ca="1">INDEX(pos_x,MATCH("Impact balistique",Event,0))</f>
        <v>780.60585379989482</v>
      </c>
      <c r="K47" s="119">
        <f ca="1">INDEX(vit_xz,MATCH("Impact balistique",Event,0))</f>
        <v>123.66874589009234</v>
      </c>
      <c r="L47" s="116">
        <f ca="1">INDEX(acc_xz,MATCH("Impact balistique",Event,0))</f>
        <v>2.7534717844445451</v>
      </c>
      <c r="M47" s="116">
        <f ca="1">INDEX(BetaD,MATCH("Impact balistique",Event,0))</f>
        <v>-84.158641828160924</v>
      </c>
    </row>
    <row r="48" spans="1:16" x14ac:dyDescent="0.3">
      <c r="A48" s="161"/>
      <c r="B48" s="174">
        <f>(4*B44*B46+B44^2)/10^6</f>
        <v>0.26020500000000002</v>
      </c>
      <c r="D48" s="162"/>
      <c r="F48" s="618" t="str">
        <f>IF(Lang="Français","Ouverture parachute fusée",IF(Lang="English","Rocket parachute opening",""))</f>
        <v>Ouverture parachute fusée</v>
      </c>
      <c r="G48" s="618"/>
      <c r="H48" s="122">
        <f>T_para</f>
        <v>16</v>
      </c>
      <c r="I48" s="123">
        <f ca="1">INDEX(pos_z,MATCH("Para",Event_para,0))</f>
        <v>1335.6988883574356</v>
      </c>
      <c r="J48" s="123">
        <f ca="1">INDEX(pos_x,MATCH("Para",Event_para,0))</f>
        <v>442.47747222968121</v>
      </c>
      <c r="K48" s="123">
        <f ca="1">INDEX(vit_xz,MATCH("Para",Event_para,0))</f>
        <v>23.66704433416033</v>
      </c>
      <c r="L48" s="122">
        <f ca="1">INDEX(acc_xz,MATCH("Para",Event_para,0))</f>
        <v>9.7904319642639344</v>
      </c>
      <c r="M48" s="124">
        <f ca="1">INDEX(BetaD,MATCH("Para",Event_para,0))</f>
        <v>-7.9165957105776732</v>
      </c>
    </row>
    <row r="49" spans="1:13" x14ac:dyDescent="0.3">
      <c r="A49" s="161"/>
      <c r="D49" s="162"/>
      <c r="F49" s="636" t="str">
        <f>IF(Lang="Français","Impact fusée sous para.",IF(Lang="English","Impact of rocket with para. ",""))</f>
        <v>Impact fusée sous para.</v>
      </c>
      <c r="G49" s="636"/>
      <c r="H49" s="125">
        <f ca="1">T_para+Dt_para</f>
        <v>181.94176512554765</v>
      </c>
      <c r="I49" s="127" t="s">
        <v>16</v>
      </c>
      <c r="J49" s="126" t="str">
        <f ca="1">CONCATENATE(TEXT(X_para-Dx_para,"0")," | ",TEXT(X_para+Dx_para,"0"))</f>
        <v>-387 | 1272</v>
      </c>
      <c r="K49" s="126">
        <f ca="1">V_para</f>
        <v>8.0492026063895192</v>
      </c>
      <c r="L49" s="128">
        <f>g</f>
        <v>9.81</v>
      </c>
      <c r="M49" s="128" t="s">
        <v>14</v>
      </c>
    </row>
    <row r="50" spans="1:13" x14ac:dyDescent="0.3">
      <c r="A50" s="161"/>
      <c r="D50" s="162"/>
      <c r="F50" s="634" t="str">
        <f>IF(Lang="Français","Largage du satellite",IF(Lang="English","Satellite separation",""))</f>
        <v>Largage du satellite</v>
      </c>
      <c r="G50" s="622"/>
      <c r="H50" s="122">
        <f>IF(T_satellite&lt;&gt;0,T_satellite,"")</f>
        <v>3.5</v>
      </c>
      <c r="I50" s="123">
        <f ca="1">IF(T_satellite&lt;&gt;0,INDEX(pos_z,MATCH("Satellite",Event_sat,0)),"")</f>
        <v>506.92255374292114</v>
      </c>
      <c r="J50" s="129">
        <f ca="1">IF(T_satellite&lt;&gt;0,INDEX(pos_x,MATCH("Satellite",Event_sat,0)),"")</f>
        <v>104.47427086787334</v>
      </c>
      <c r="K50" s="123">
        <f ca="1">IF(T_satellite&lt;&gt;0,INDEX(vit_xz,MATCH("Satellite",Event_sat,0)),"")</f>
        <v>160.25063119444829</v>
      </c>
      <c r="L50" s="122">
        <f ca="1">IF(T_satellite&lt;&gt;0,INDEX(acc_xz,MATCH("Satellite",Event_sat,0)),"")</f>
        <v>21.553415862659328</v>
      </c>
      <c r="M50" s="124">
        <f ca="1">IF(T_satellite&lt;&gt;0,INDEX(BetaD,MATCH("Satellite",Event_sat,0)),"")</f>
        <v>77.368130433466533</v>
      </c>
    </row>
    <row r="51" spans="1:13" x14ac:dyDescent="0.3">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43.55531550366301</v>
      </c>
      <c r="I51" s="130" t="str">
        <f>IF(T_satellite&lt;&gt;0,"~0","")</f>
        <v>~0</v>
      </c>
      <c r="J51" s="130" t="str">
        <f ca="1">IF(T_satellite&lt;&gt;0,CONCATENATE(TEXT(X_satellite-Dx_sat,"0")," | ",TEXT(X_satellite+Dx_sat,"0")),"")</f>
        <v>-96 | 305</v>
      </c>
      <c r="K51" s="130">
        <f>IF(T_satellite&lt;&gt;0,V_satellite,"")</f>
        <v>12.655562623057198</v>
      </c>
      <c r="L51" s="128">
        <f>IF(T_satellite&lt;&gt;0,g,"")</f>
        <v>9.81</v>
      </c>
      <c r="M51" s="131" t="str">
        <f>IF(T_satellite&lt;&gt;0,"-","")</f>
        <v>-</v>
      </c>
    </row>
    <row r="52" spans="1:13" x14ac:dyDescent="0.3">
      <c r="A52" s="161"/>
      <c r="B52" s="168">
        <v>800</v>
      </c>
      <c r="D52" s="162"/>
    </row>
    <row r="53" spans="1:13" x14ac:dyDescent="0.3">
      <c r="A53" s="161"/>
      <c r="B53" s="166" t="str">
        <f>IF(Lang="Français","Rayon intérieur","Half-diameter int")</f>
        <v>Rayon intérieur</v>
      </c>
      <c r="D53" s="162"/>
    </row>
    <row r="54" spans="1:13" x14ac:dyDescent="0.3">
      <c r="A54" s="161"/>
      <c r="B54" s="168">
        <v>75</v>
      </c>
      <c r="D54" s="162"/>
    </row>
    <row r="55" spans="1:13" x14ac:dyDescent="0.3">
      <c r="A55" s="161"/>
      <c r="B55" s="169" t="s">
        <v>9</v>
      </c>
      <c r="D55" s="162"/>
    </row>
    <row r="56" spans="1:13" x14ac:dyDescent="0.3">
      <c r="A56" s="161"/>
      <c r="B56" s="174">
        <f>PI()*(B52^2-B54^2)/10^6</f>
        <v>1.992947839621025</v>
      </c>
      <c r="D56" s="162"/>
    </row>
    <row r="57" spans="1:13" x14ac:dyDescent="0.3">
      <c r="A57" s="163"/>
      <c r="B57" s="164"/>
      <c r="C57" s="164"/>
      <c r="D57" s="165"/>
    </row>
    <row r="94" spans="2:2" x14ac:dyDescent="0.3">
      <c r="B94" s="24" t="str">
        <f>IF(Lang="Français","Vitesse de descente sous parachute :",IF(Lang="English","Fall velocity over parachute:",""))</f>
        <v>Vitesse de descente sous parachute :</v>
      </c>
    </row>
    <row r="103" spans="2:9" x14ac:dyDescent="0.3">
      <c r="B103" s="24" t="str">
        <f>IF(Lang="Français","Textes pour les listes déroulantes et graphiques :","Texts for drop-down lists &amp; graphics :")</f>
        <v>Textes pour les listes déroulantes et graphiques :</v>
      </c>
    </row>
    <row r="104" spans="2:9" x14ac:dyDescent="0.3">
      <c r="F104" s="221" t="s">
        <v>405</v>
      </c>
      <c r="G104" s="1" t="s">
        <v>412</v>
      </c>
      <c r="I104" s="1" t="s">
        <v>557</v>
      </c>
    </row>
    <row r="105" spans="2:9" x14ac:dyDescent="0.3">
      <c r="B105" s="1" t="s">
        <v>120</v>
      </c>
      <c r="F105" s="477">
        <f ca="1">Combustion+Depotage-9</f>
        <v>-9</v>
      </c>
      <c r="G105" s="478" t="s">
        <v>407</v>
      </c>
      <c r="I105" s="1" t="s">
        <v>558</v>
      </c>
    </row>
    <row r="106" spans="2:9" x14ac:dyDescent="0.3">
      <c r="B106" s="1" t="s">
        <v>121</v>
      </c>
      <c r="F106" s="477">
        <f ca="1">Combustion+Depotage-7</f>
        <v>-7</v>
      </c>
      <c r="G106" s="478" t="s">
        <v>408</v>
      </c>
      <c r="I106" s="1" t="s">
        <v>559</v>
      </c>
    </row>
    <row r="107" spans="2:9" x14ac:dyDescent="0.3">
      <c r="B107" s="1" t="str">
        <f>IF(T_para&gt;0,IF(Lang="Français","Phase ascendante","Climbing phase"),"")</f>
        <v>Phase ascendante</v>
      </c>
      <c r="F107" s="477">
        <f ca="1">Combustion+Depotage-5</f>
        <v>-5</v>
      </c>
      <c r="G107" s="478" t="s">
        <v>409</v>
      </c>
    </row>
    <row r="108" spans="2:9" x14ac:dyDescent="0.3">
      <c r="B108" s="1" t="str">
        <f>IF(Lang="Français","Descente balistique","Balistic fall")</f>
        <v>Descente balistique</v>
      </c>
      <c r="F108" s="477">
        <f ca="1">Combustion+Depotage-3</f>
        <v>-3</v>
      </c>
      <c r="G108" s="478" t="s">
        <v>410</v>
      </c>
    </row>
    <row r="109" spans="2:9" x14ac:dyDescent="0.3">
      <c r="B109" s="1" t="str">
        <f>IF(T_para&gt;0,IF(Lang="Français","Fusée sous parachute","Rocket under parachute"),"")</f>
        <v>Fusée sous parachute</v>
      </c>
      <c r="F109" s="477">
        <f ca="1">Combustion+Depotage</f>
        <v>0</v>
      </c>
      <c r="G109" s="478" t="s">
        <v>411</v>
      </c>
    </row>
    <row r="110" spans="2:9" x14ac:dyDescent="0.3">
      <c r="B110" s="1" t="str">
        <f>IF(AND(Nb_sat="1 satellite",T_satellite&gt;0),IF(Lang="Français","Satellite sous parachute","Satellite over parachute"),"")</f>
        <v/>
      </c>
      <c r="F110" s="479" t="str">
        <f>IF(Lang="Français","autre",IF(Lang="English","other",""))</f>
        <v>autre</v>
      </c>
    </row>
    <row r="111" spans="2:9" x14ac:dyDescent="0.3">
      <c r="B111" s="1" t="str">
        <f>IF(Lang="Français","Trajectoire (x z)","Trajectory (x z)")</f>
        <v>Trajectoire (x z)</v>
      </c>
    </row>
    <row r="112" spans="2:9" x14ac:dyDescent="0.3">
      <c r="B112" s="1" t="str">
        <f>IF(Lang="Français","Portée x [m]","Range x [m]")</f>
        <v>Portée x [m]</v>
      </c>
    </row>
    <row r="113" spans="2:3" x14ac:dyDescent="0.3">
      <c r="B113" s="1" t="str">
        <f>IF(Lang="Français","Temps [s]","Time [s]")</f>
        <v>Temps [s]</v>
      </c>
    </row>
    <row r="114" spans="2:3" x14ac:dyDescent="0.3">
      <c r="B114" s="1" t="str">
        <f>IF(Lang="Français","Altitude z  /  Temps","Altitude z  /  Time")</f>
        <v>Altitude z  /  Temps</v>
      </c>
      <c r="C114" s="1">
        <f>IF(OR(C26=F104,C26=F110),C27,C26)</f>
        <v>16</v>
      </c>
    </row>
    <row r="116" spans="2:3" x14ac:dyDescent="0.3">
      <c r="B116" s="1" t="s">
        <v>406</v>
      </c>
    </row>
    <row r="118" spans="2:3" x14ac:dyDescent="0.3">
      <c r="B118" s="24" t="str">
        <f>IF(Lang="Français","Données pour les graphiques :","Data for plots:")</f>
        <v>Données pour les graphiques :</v>
      </c>
    </row>
    <row r="120" spans="2:3" x14ac:dyDescent="0.3">
      <c r="B120" s="210" t="s">
        <v>47</v>
      </c>
      <c r="C120" s="211" t="s">
        <v>47</v>
      </c>
    </row>
    <row r="121" spans="2:3" x14ac:dyDescent="0.3">
      <c r="B121" s="218">
        <f ca="1">MAX(Altitude_culmi,Portee_balistique)</f>
        <v>1336.2190763527988</v>
      </c>
      <c r="C121" s="216">
        <f ca="1">MAX(Altitude_culmi,Portee_balistique)</f>
        <v>1336.2190763527988</v>
      </c>
    </row>
    <row r="123" spans="2:3" x14ac:dyDescent="0.3">
      <c r="B123" s="210" t="s">
        <v>49</v>
      </c>
      <c r="C123" s="211" t="s">
        <v>45</v>
      </c>
    </row>
    <row r="124" spans="2:3" x14ac:dyDescent="0.3">
      <c r="B124" s="217">
        <f ca="1">X_para</f>
        <v>442.47747222968121</v>
      </c>
      <c r="C124" s="214">
        <f ca="1">Alt_para</f>
        <v>1335.6988883574356</v>
      </c>
    </row>
    <row r="125" spans="2:3" x14ac:dyDescent="0.3">
      <c r="B125" s="217">
        <f ca="1">X_para</f>
        <v>442.47747222968121</v>
      </c>
      <c r="C125" s="214">
        <f ca="1">Alt_para/2</f>
        <v>667.84944417871782</v>
      </c>
    </row>
    <row r="126" spans="2:3" x14ac:dyDescent="0.3">
      <c r="B126" s="217">
        <f ca="1">X_para</f>
        <v>442.47747222968121</v>
      </c>
      <c r="C126" s="214">
        <v>0</v>
      </c>
    </row>
    <row r="127" spans="2:3" x14ac:dyDescent="0.3">
      <c r="B127" s="217">
        <f ca="1">X_para+Alt_para/40</f>
        <v>475.8699444386171</v>
      </c>
      <c r="C127" s="214">
        <f ca="1">Alt_para/20</f>
        <v>66.784944417871785</v>
      </c>
    </row>
    <row r="128" spans="2:3" x14ac:dyDescent="0.3">
      <c r="B128" s="217">
        <f ca="1">X_para</f>
        <v>442.47747222968121</v>
      </c>
      <c r="C128" s="214">
        <v>0</v>
      </c>
    </row>
    <row r="129" spans="2:6" x14ac:dyDescent="0.3">
      <c r="B129" s="217">
        <f ca="1">X_para-Alt_para/40</f>
        <v>409.08500002074533</v>
      </c>
      <c r="C129" s="214">
        <f ca="1">Alt_para/20</f>
        <v>66.784944417871785</v>
      </c>
    </row>
    <row r="130" spans="2:6" x14ac:dyDescent="0.3">
      <c r="B130" s="218">
        <f ca="1">X_para</f>
        <v>442.47747222968121</v>
      </c>
      <c r="C130" s="219">
        <v>0</v>
      </c>
    </row>
    <row r="131" spans="2:6" x14ac:dyDescent="0.3">
      <c r="B131" s="210" t="s">
        <v>48</v>
      </c>
      <c r="C131" s="211" t="s">
        <v>45</v>
      </c>
    </row>
    <row r="132" spans="2:6" x14ac:dyDescent="0.3">
      <c r="B132" s="213">
        <f>T_para</f>
        <v>16</v>
      </c>
      <c r="C132" s="214">
        <f ca="1">Alt_para</f>
        <v>1335.6988883574356</v>
      </c>
    </row>
    <row r="133" spans="2:6" x14ac:dyDescent="0.3">
      <c r="B133" s="213">
        <f ca="1">(B132+B134)/2</f>
        <v>98.970882562773824</v>
      </c>
      <c r="C133" s="214">
        <f ca="1">(C132+C134)/2</f>
        <v>667.84944417871782</v>
      </c>
      <c r="E133" s="232">
        <v>1</v>
      </c>
      <c r="F133" s="233" t="s">
        <v>175</v>
      </c>
    </row>
    <row r="134" spans="2:6" x14ac:dyDescent="0.3">
      <c r="B134" s="213">
        <f ca="1">H49</f>
        <v>181.94176512554765</v>
      </c>
      <c r="C134" s="214">
        <f>0</f>
        <v>0</v>
      </c>
      <c r="E134" s="161">
        <v>1</v>
      </c>
      <c r="F134" s="234" t="s">
        <v>176</v>
      </c>
    </row>
    <row r="135" spans="2:6" x14ac:dyDescent="0.3">
      <c r="B135" s="213">
        <f ca="1">H49+E133*sS/2*zZ_fus-E134*sS*tT_fus</f>
        <v>180.54488249273143</v>
      </c>
      <c r="C135" s="214">
        <f ca="1">Alt_para-V_para*(H49-T_para)+E133*sS*Altitude_culmi/H49*zZ_fus+E134*sS/2*Altitude_culmi/H49*tT_fus</f>
        <v>36.250604374379442</v>
      </c>
      <c r="E135" s="161"/>
      <c r="F135" s="241" t="s">
        <v>177</v>
      </c>
    </row>
    <row r="136" spans="2:6" x14ac:dyDescent="0.3">
      <c r="B136" s="213">
        <f ca="1">H49</f>
        <v>181.94176512554765</v>
      </c>
      <c r="C136" s="214">
        <f ca="1">Alt_para-V_para*(H49-T_para)</f>
        <v>0</v>
      </c>
      <c r="E136" s="235" t="s">
        <v>172</v>
      </c>
      <c r="F136" s="236">
        <f ca="1">T_balistique/10</f>
        <v>3.390000000000021</v>
      </c>
    </row>
    <row r="137" spans="2:6" x14ac:dyDescent="0.3">
      <c r="B137" s="213">
        <f ca="1">H49-E133*sS/2*zZ_fus-E134*sS*tT_fus</f>
        <v>177.15488249273139</v>
      </c>
      <c r="C137" s="214">
        <f ca="1">Alt_para-V_para*(H49-T_para)+E133*sS*Altitude_culmi/H49*zZ_fus-E134*sS/2*Altitude_culmi/H49*tT_fus</f>
        <v>13.543159753502577</v>
      </c>
      <c r="E137" s="235" t="s">
        <v>173</v>
      </c>
      <c r="F137" s="236">
        <f ca="1">(H49-T_para)/H49</f>
        <v>0.91205977369209701</v>
      </c>
    </row>
    <row r="138" spans="2:6" x14ac:dyDescent="0.3">
      <c r="B138" s="215">
        <f ca="1">H49</f>
        <v>181.94176512554765</v>
      </c>
      <c r="C138" s="216">
        <f ca="1">Alt_para-V_para*(H49-T_para)</f>
        <v>0</v>
      </c>
      <c r="E138" s="237" t="s">
        <v>174</v>
      </c>
      <c r="F138" s="238">
        <f ca="1">V_para*(H49-T_para)/Alt_para</f>
        <v>1</v>
      </c>
    </row>
    <row r="140" spans="2:6" x14ac:dyDescent="0.3">
      <c r="B140" s="210" t="s">
        <v>51</v>
      </c>
      <c r="C140" s="211" t="s">
        <v>46</v>
      </c>
    </row>
    <row r="141" spans="2:6" x14ac:dyDescent="0.3">
      <c r="B141" s="217" t="b">
        <f>IF(Nb_sat="1 satellite",X_satellite)</f>
        <v>0</v>
      </c>
      <c r="C141" s="214" t="b">
        <f>IF(Nb_sat="1 satellite",Alt_sat)</f>
        <v>0</v>
      </c>
    </row>
    <row r="142" spans="2:6" x14ac:dyDescent="0.3">
      <c r="B142" s="217" t="b">
        <f>IF(Nb_sat="1 satellite",X_satellite)</f>
        <v>0</v>
      </c>
      <c r="C142" s="214" t="b">
        <f>IF(Nb_sat="1 satellite",Alt_sat*1/4)</f>
        <v>0</v>
      </c>
    </row>
    <row r="143" spans="2:6" x14ac:dyDescent="0.3">
      <c r="B143" s="217" t="b">
        <f>IF(Nb_sat="1 satellite",X_satellite)</f>
        <v>0</v>
      </c>
      <c r="C143" s="214" t="b">
        <f>IF(Nb_sat="1 satellite",0)</f>
        <v>0</v>
      </c>
    </row>
    <row r="144" spans="2:6" x14ac:dyDescent="0.3">
      <c r="B144" s="217" t="b">
        <f>IF(Nb_sat="1 satellite",X_satellite+Alt_sat/40)</f>
        <v>0</v>
      </c>
      <c r="C144" s="214" t="b">
        <f>IF(Nb_sat="1 satellite",Alt_sat/20)</f>
        <v>0</v>
      </c>
    </row>
    <row r="145" spans="2:6" x14ac:dyDescent="0.3">
      <c r="B145" s="217" t="b">
        <f>IF(Nb_sat="1 satellite",X_satellite)</f>
        <v>0</v>
      </c>
      <c r="C145" s="214" t="b">
        <f>IF(Nb_sat="1 satellite",0)</f>
        <v>0</v>
      </c>
    </row>
    <row r="146" spans="2:6" x14ac:dyDescent="0.3">
      <c r="B146" s="217" t="b">
        <f>IF(Nb_sat="1 satellite",X_satellite-Alt_sat/40)</f>
        <v>0</v>
      </c>
      <c r="C146" s="214" t="b">
        <f>IF(Nb_sat="1 satellite",Alt_sat/20)</f>
        <v>0</v>
      </c>
    </row>
    <row r="147" spans="2:6" x14ac:dyDescent="0.3">
      <c r="B147" s="218" t="b">
        <f>IF(Nb_sat="1 satellite",X_satellite)</f>
        <v>0</v>
      </c>
      <c r="C147" s="214" t="b">
        <f>IF(Nb_sat="1 satellite",0)</f>
        <v>0</v>
      </c>
    </row>
    <row r="148" spans="2:6" x14ac:dyDescent="0.3">
      <c r="B148" s="210" t="s">
        <v>50</v>
      </c>
      <c r="C148" s="211" t="s">
        <v>46</v>
      </c>
    </row>
    <row r="149" spans="2:6" x14ac:dyDescent="0.3">
      <c r="B149" s="213" t="b">
        <f>IF(Nb_sat="1 satellite",T_satellite)</f>
        <v>0</v>
      </c>
      <c r="C149" s="214" t="b">
        <f>IF(Nb_sat="1 satellite",Alt_sat)</f>
        <v>0</v>
      </c>
      <c r="D149" s="221"/>
    </row>
    <row r="150" spans="2:6" x14ac:dyDescent="0.3">
      <c r="B150" s="213">
        <f>(B149+B151)/2</f>
        <v>0</v>
      </c>
      <c r="C150" s="214">
        <f>(C149+C151)/2</f>
        <v>0</v>
      </c>
      <c r="D150" s="221"/>
    </row>
    <row r="151" spans="2:6" x14ac:dyDescent="0.3">
      <c r="B151" s="213" t="b">
        <f>IF(Nb_sat="1 satellite",H51)</f>
        <v>0</v>
      </c>
      <c r="C151" s="214" t="b">
        <f>IF(Nb_sat="1 satellite",0)</f>
        <v>0</v>
      </c>
    </row>
    <row r="152" spans="2:6" x14ac:dyDescent="0.3">
      <c r="B152" s="213" t="b">
        <f>IF(Nb_sat="1 satellite",H51+E133*sS/2*zZ_sat-E134*sS*tT_sat)</f>
        <v>0</v>
      </c>
      <c r="C152" s="214" t="b">
        <f>IF(Nb_sat="1 satellite",Alt_sat-V_satellite*(H51-T_satellite)+E133*sS*Altitude_culmi/H51*zZ_sat+E134*sS/2*Altitude_culmi/H51*tT_sat)</f>
        <v>0</v>
      </c>
      <c r="D152" s="221"/>
    </row>
    <row r="153" spans="2:6" x14ac:dyDescent="0.3">
      <c r="B153" s="213" t="b">
        <f>IF(Nb_sat="1 satellite",H51)</f>
        <v>0</v>
      </c>
      <c r="C153" s="214" t="b">
        <f>IF(Nb_sat="1 satellite",0)</f>
        <v>0</v>
      </c>
    </row>
    <row r="154" spans="2:6" x14ac:dyDescent="0.3">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0.89675516224188856</v>
      </c>
    </row>
    <row r="155" spans="2:6" x14ac:dyDescent="0.3">
      <c r="B155" s="215" t="b">
        <f>IF(Nb_sat="1 satellite",H51)</f>
        <v>0</v>
      </c>
      <c r="C155" s="216" t="b">
        <f>IF(Nb_sat="1 satellite",0)</f>
        <v>0</v>
      </c>
      <c r="E155" s="237" t="s">
        <v>174</v>
      </c>
      <c r="F155" s="238">
        <f ca="1">V_satellite*(T_balistique-T_satellite)/Alt_sat</f>
        <v>0.75895045683063378</v>
      </c>
    </row>
    <row r="157" spans="2:6" x14ac:dyDescent="0.3">
      <c r="B157" s="210" t="s">
        <v>2</v>
      </c>
      <c r="C157" s="228" t="s">
        <v>29</v>
      </c>
      <c r="D157" s="211" t="s">
        <v>3</v>
      </c>
    </row>
    <row r="158" spans="2:6" x14ac:dyDescent="0.3">
      <c r="B158" s="231">
        <f>T_para/4</f>
        <v>4</v>
      </c>
      <c r="C158" s="82">
        <f ca="1">Alt_para/2</f>
        <v>667.84944417871782</v>
      </c>
      <c r="D158" s="214">
        <f ca="1">X_para/4</f>
        <v>110.6193680574203</v>
      </c>
    </row>
    <row r="159" spans="2:6" x14ac:dyDescent="0.3">
      <c r="B159" s="229">
        <f ca="1">Temps_culmi + (T_balistique-Temps_culmi)/2</f>
        <v>24.750000000000085</v>
      </c>
      <c r="C159" s="230">
        <f ca="1">Altitude_culmi/2</f>
        <v>668.10953817639938</v>
      </c>
      <c r="D159" s="216">
        <f ca="1">X_culmi+(Portee_balistique-X_culmi)*2/3</f>
        <v>664.76476255231648</v>
      </c>
    </row>
    <row r="161" spans="2:6" x14ac:dyDescent="0.3">
      <c r="B161" s="210" t="s">
        <v>302</v>
      </c>
      <c r="C161" s="228" t="s">
        <v>301</v>
      </c>
      <c r="D161" s="422" t="s">
        <v>303</v>
      </c>
    </row>
    <row r="162" spans="2:6" x14ac:dyDescent="0.3">
      <c r="B162" s="231" t="e">
        <f ca="1">IF(AND(Altitude_culmi&gt;80, Altitude_culmi&lt;=350), 49, NA())</f>
        <v>#N/A</v>
      </c>
      <c r="C162" s="5">
        <v>0</v>
      </c>
      <c r="D162" s="82">
        <f t="shared" ref="D162:D177" ca="1" si="0">X_culmi+C162</f>
        <v>433.0825800571597</v>
      </c>
      <c r="E162" s="422"/>
      <c r="F162" s="423" t="s">
        <v>303</v>
      </c>
    </row>
    <row r="163" spans="2:6" x14ac:dyDescent="0.3">
      <c r="B163" s="231" t="e">
        <f ca="1">IF(AND(Altitude_culmi&gt;80, Altitude_culmi&lt;=350), 49, NA())</f>
        <v>#N/A</v>
      </c>
      <c r="C163" s="5">
        <v>23</v>
      </c>
      <c r="D163" s="82">
        <f t="shared" ca="1" si="0"/>
        <v>456.0825800571597</v>
      </c>
      <c r="E163" s="82"/>
      <c r="F163" s="214">
        <f t="shared" ref="F163:F178" ca="1" si="1">X_culmi-C162</f>
        <v>433.0825800571597</v>
      </c>
    </row>
    <row r="164" spans="2:6" x14ac:dyDescent="0.3">
      <c r="B164" s="231" t="e">
        <f ca="1">IF(AND(Altitude_culmi&gt;80, Altitude_culmi&lt;=350), 43, NA())</f>
        <v>#N/A</v>
      </c>
      <c r="C164" s="5">
        <v>23</v>
      </c>
      <c r="D164" s="82">
        <f t="shared" ca="1" si="0"/>
        <v>456.0825800571597</v>
      </c>
      <c r="E164" s="82"/>
      <c r="F164" s="214">
        <f t="shared" ca="1" si="1"/>
        <v>410.0825800571597</v>
      </c>
    </row>
    <row r="165" spans="2:6" x14ac:dyDescent="0.3">
      <c r="B165" s="231" t="e">
        <f ca="1">IF(AND(Altitude_culmi&gt;80, Altitude_culmi&lt;=350), 43, NA())</f>
        <v>#N/A</v>
      </c>
      <c r="C165" s="5">
        <v>0</v>
      </c>
      <c r="D165" s="82">
        <f t="shared" ca="1" si="0"/>
        <v>433.0825800571597</v>
      </c>
      <c r="E165" s="82"/>
      <c r="F165" s="214">
        <f t="shared" ca="1" si="1"/>
        <v>410.0825800571597</v>
      </c>
    </row>
    <row r="166" spans="2:6" x14ac:dyDescent="0.3">
      <c r="B166" s="231" t="e">
        <f ca="1">IF(AND(Altitude_culmi&gt;80, Altitude_culmi&lt;=350), 43, NA())</f>
        <v>#N/A</v>
      </c>
      <c r="C166" s="5">
        <v>23</v>
      </c>
      <c r="D166" s="82">
        <f t="shared" ca="1" si="0"/>
        <v>456.0825800571597</v>
      </c>
      <c r="E166" s="82"/>
      <c r="F166" s="214">
        <f t="shared" ca="1" si="1"/>
        <v>433.0825800571597</v>
      </c>
    </row>
    <row r="167" spans="2:6" x14ac:dyDescent="0.3">
      <c r="B167" s="231" t="e">
        <f ca="1">IF(AND(Altitude_culmi&gt;80, Altitude_culmi&lt;=350), 0.5, NA())</f>
        <v>#N/A</v>
      </c>
      <c r="C167" s="5">
        <v>23</v>
      </c>
      <c r="D167" s="82">
        <f t="shared" ca="1" si="0"/>
        <v>456.0825800571597</v>
      </c>
      <c r="E167" s="82"/>
      <c r="F167" s="214">
        <f t="shared" ca="1" si="1"/>
        <v>410.0825800571597</v>
      </c>
    </row>
    <row r="168" spans="2:6" x14ac:dyDescent="0.3">
      <c r="B168" s="231" t="e">
        <f ca="1">IF(AND(Altitude_culmi&gt;80, Altitude_culmi&lt;=350), 0.5, NA())</f>
        <v>#N/A</v>
      </c>
      <c r="C168" s="5">
        <v>8</v>
      </c>
      <c r="D168" s="82">
        <f t="shared" ca="1" si="0"/>
        <v>441.0825800571597</v>
      </c>
      <c r="E168" s="82"/>
      <c r="F168" s="214">
        <f t="shared" ca="1" si="1"/>
        <v>410.0825800571597</v>
      </c>
    </row>
    <row r="169" spans="2:6" x14ac:dyDescent="0.3">
      <c r="B169" s="231" t="e">
        <f ca="1">IF(AND(Altitude_culmi&gt;80, Altitude_culmi&lt;=350), 27, NA())</f>
        <v>#N/A</v>
      </c>
      <c r="C169" s="5">
        <v>8</v>
      </c>
      <c r="D169" s="82">
        <f t="shared" ca="1" si="0"/>
        <v>441.0825800571597</v>
      </c>
      <c r="E169" s="82"/>
      <c r="F169" s="214">
        <f t="shared" ca="1" si="1"/>
        <v>425.0825800571597</v>
      </c>
    </row>
    <row r="170" spans="2:6" x14ac:dyDescent="0.3">
      <c r="B170" s="231" t="e">
        <f ca="1">IF(AND(Altitude_culmi&gt;80, Altitude_culmi&lt;=350), 27, NA())</f>
        <v>#N/A</v>
      </c>
      <c r="C170" s="5">
        <v>23</v>
      </c>
      <c r="D170" s="82">
        <f t="shared" ca="1" si="0"/>
        <v>456.0825800571597</v>
      </c>
      <c r="E170" s="82"/>
      <c r="F170" s="214">
        <f t="shared" ca="1" si="1"/>
        <v>425.0825800571597</v>
      </c>
    </row>
    <row r="171" spans="2:6" x14ac:dyDescent="0.3">
      <c r="B171" s="231" t="e">
        <f ca="1">IF(AND(Altitude_culmi&gt;80, Altitude_culmi&lt;=350), 27, NA())</f>
        <v>#N/A</v>
      </c>
      <c r="C171" s="5">
        <v>8</v>
      </c>
      <c r="D171" s="82">
        <f t="shared" ca="1" si="0"/>
        <v>441.0825800571597</v>
      </c>
      <c r="E171" s="82"/>
      <c r="F171" s="214">
        <f t="shared" ca="1" si="1"/>
        <v>410.0825800571597</v>
      </c>
    </row>
    <row r="172" spans="2:6" x14ac:dyDescent="0.3">
      <c r="B172" s="231" t="e">
        <f ca="1">IF(AND(Altitude_culmi&gt;80, Altitude_culmi&lt;=350), 29, NA())</f>
        <v>#N/A</v>
      </c>
      <c r="C172" s="5">
        <v>7.6</v>
      </c>
      <c r="D172" s="82">
        <f t="shared" ca="1" si="0"/>
        <v>440.68258005715973</v>
      </c>
      <c r="E172" s="82"/>
      <c r="F172" s="214">
        <f t="shared" ca="1" si="1"/>
        <v>425.0825800571597</v>
      </c>
    </row>
    <row r="173" spans="2:6" x14ac:dyDescent="0.3">
      <c r="B173" s="231" t="e">
        <f ca="1">IF(AND(Altitude_culmi&gt;80, Altitude_culmi&lt;=350), 31, NA())</f>
        <v>#N/A</v>
      </c>
      <c r="C173" s="5">
        <v>6.8</v>
      </c>
      <c r="D173" s="82">
        <f t="shared" ca="1" si="0"/>
        <v>439.88258005715971</v>
      </c>
      <c r="E173" s="82"/>
      <c r="F173" s="214">
        <f t="shared" ca="1" si="1"/>
        <v>425.48258005715968</v>
      </c>
    </row>
    <row r="174" spans="2:6" x14ac:dyDescent="0.3">
      <c r="B174" s="231" t="e">
        <f ca="1">IF(AND(Altitude_culmi&gt;80, Altitude_culmi&lt;=350), 32, NA())</f>
        <v>#N/A</v>
      </c>
      <c r="C174" s="5">
        <v>6</v>
      </c>
      <c r="D174" s="82">
        <f t="shared" ca="1" si="0"/>
        <v>439.0825800571597</v>
      </c>
      <c r="E174" s="82"/>
      <c r="F174" s="214">
        <f t="shared" ca="1" si="1"/>
        <v>426.28258005715969</v>
      </c>
    </row>
    <row r="175" spans="2:6" x14ac:dyDescent="0.3">
      <c r="B175" s="231" t="e">
        <f ca="1">IF(AND(Altitude_culmi&gt;80, Altitude_culmi&lt;=350), 33, NA())</f>
        <v>#N/A</v>
      </c>
      <c r="C175" s="5">
        <v>5</v>
      </c>
      <c r="D175" s="82">
        <f t="shared" ca="1" si="0"/>
        <v>438.0825800571597</v>
      </c>
      <c r="E175" s="82"/>
      <c r="F175" s="214">
        <f t="shared" ca="1" si="1"/>
        <v>427.0825800571597</v>
      </c>
    </row>
    <row r="176" spans="2:6" x14ac:dyDescent="0.3">
      <c r="B176" s="231" t="e">
        <f ca="1">IF(AND(Altitude_culmi&gt;80, Altitude_culmi&lt;=350), 34, NA())</f>
        <v>#N/A</v>
      </c>
      <c r="C176" s="5">
        <v>3.8</v>
      </c>
      <c r="D176" s="82">
        <f t="shared" ca="1" si="0"/>
        <v>436.88258005715971</v>
      </c>
      <c r="E176" s="82"/>
      <c r="F176" s="214">
        <f t="shared" ca="1" si="1"/>
        <v>428.0825800571597</v>
      </c>
    </row>
    <row r="177" spans="2:6" x14ac:dyDescent="0.3">
      <c r="B177" s="229" t="e">
        <f ca="1">IF(AND(Altitude_culmi&gt;80, Altitude_culmi&lt;=350), 35, NA())</f>
        <v>#N/A</v>
      </c>
      <c r="C177" s="421">
        <v>0</v>
      </c>
      <c r="D177" s="230">
        <f t="shared" ca="1" si="0"/>
        <v>433.0825800571597</v>
      </c>
      <c r="E177" s="82"/>
      <c r="F177" s="214">
        <f t="shared" ca="1" si="1"/>
        <v>429.28258005715969</v>
      </c>
    </row>
    <row r="178" spans="2:6" x14ac:dyDescent="0.3">
      <c r="E178" s="230"/>
      <c r="F178" s="216">
        <f t="shared" ca="1" si="1"/>
        <v>433.0825800571597</v>
      </c>
    </row>
    <row r="179" spans="2:6" x14ac:dyDescent="0.3">
      <c r="B179" s="210" t="s">
        <v>304</v>
      </c>
      <c r="C179" s="228" t="s">
        <v>305</v>
      </c>
      <c r="D179" s="228" t="s">
        <v>306</v>
      </c>
    </row>
    <row r="180" spans="2:6" x14ac:dyDescent="0.3">
      <c r="B180" s="231">
        <f ca="1">IF(Altitude_culmi&gt;350, 324, NA())</f>
        <v>324</v>
      </c>
      <c r="C180" s="5">
        <v>0</v>
      </c>
      <c r="D180" s="82">
        <f t="shared" ref="D180:D200" ca="1" si="2">X_culmi+C180</f>
        <v>433.0825800571597</v>
      </c>
      <c r="E180" s="228"/>
      <c r="F180" s="211" t="s">
        <v>306</v>
      </c>
    </row>
    <row r="181" spans="2:6" x14ac:dyDescent="0.3">
      <c r="B181" s="231">
        <f ca="1">IF(Altitude_culmi&gt;350, 300, NA())</f>
        <v>300</v>
      </c>
      <c r="C181" s="5">
        <v>0</v>
      </c>
      <c r="D181" s="82">
        <f t="shared" ca="1" si="2"/>
        <v>433.0825800571597</v>
      </c>
      <c r="E181" s="82"/>
      <c r="F181" s="214">
        <f t="shared" ref="F181:F201" ca="1" si="3">X_culmi-C180</f>
        <v>433.0825800571597</v>
      </c>
    </row>
    <row r="182" spans="2:6" x14ac:dyDescent="0.3">
      <c r="B182" s="231">
        <f ca="1">IF(Altitude_culmi&gt;350, 280, NA())</f>
        <v>280</v>
      </c>
      <c r="C182" s="5">
        <v>10</v>
      </c>
      <c r="D182" s="82">
        <f t="shared" ca="1" si="2"/>
        <v>443.0825800571597</v>
      </c>
      <c r="E182" s="82"/>
      <c r="F182" s="214">
        <f t="shared" ca="1" si="3"/>
        <v>433.0825800571597</v>
      </c>
    </row>
    <row r="183" spans="2:6" x14ac:dyDescent="0.3">
      <c r="B183" s="231">
        <f ca="1">IF(Altitude_culmi&gt;350, 280, NA())</f>
        <v>280</v>
      </c>
      <c r="C183" s="5">
        <v>0</v>
      </c>
      <c r="D183" s="82">
        <f t="shared" ca="1" si="2"/>
        <v>433.0825800571597</v>
      </c>
      <c r="E183" s="82"/>
      <c r="F183" s="214">
        <f t="shared" ca="1" si="3"/>
        <v>423.0825800571597</v>
      </c>
    </row>
    <row r="184" spans="2:6" x14ac:dyDescent="0.3">
      <c r="B184" s="231">
        <f ca="1">IF(Altitude_culmi&gt;350, 280, NA())</f>
        <v>280</v>
      </c>
      <c r="C184" s="5">
        <v>10</v>
      </c>
      <c r="D184" s="82">
        <f t="shared" ca="1" si="2"/>
        <v>443.0825800571597</v>
      </c>
      <c r="E184" s="82"/>
      <c r="F184" s="214">
        <f t="shared" ca="1" si="3"/>
        <v>433.0825800571597</v>
      </c>
    </row>
    <row r="185" spans="2:6" x14ac:dyDescent="0.3">
      <c r="B185" s="231">
        <f ca="1">IF(Altitude_culmi&gt;350, 200, NA())</f>
        <v>200</v>
      </c>
      <c r="C185" s="5">
        <v>13</v>
      </c>
      <c r="D185" s="82">
        <f t="shared" ca="1" si="2"/>
        <v>446.0825800571597</v>
      </c>
      <c r="E185" s="82"/>
      <c r="F185" s="214">
        <f t="shared" ca="1" si="3"/>
        <v>423.0825800571597</v>
      </c>
    </row>
    <row r="186" spans="2:6" x14ac:dyDescent="0.3">
      <c r="B186" s="231">
        <f ca="1">IF(Altitude_culmi&gt;350, 160, NA())</f>
        <v>160</v>
      </c>
      <c r="C186" s="5">
        <v>17</v>
      </c>
      <c r="D186" s="82">
        <f t="shared" ca="1" si="2"/>
        <v>450.0825800571597</v>
      </c>
      <c r="E186" s="82"/>
      <c r="F186" s="214">
        <f t="shared" ca="1" si="3"/>
        <v>420.0825800571597</v>
      </c>
    </row>
    <row r="187" spans="2:6" x14ac:dyDescent="0.3">
      <c r="B187" s="231">
        <f ca="1">IF(Altitude_culmi&gt;350, 115, NA())</f>
        <v>115</v>
      </c>
      <c r="C187" s="5">
        <v>20</v>
      </c>
      <c r="D187" s="82">
        <f t="shared" ca="1" si="2"/>
        <v>453.0825800571597</v>
      </c>
      <c r="E187" s="82"/>
      <c r="F187" s="214">
        <f t="shared" ca="1" si="3"/>
        <v>416.0825800571597</v>
      </c>
    </row>
    <row r="188" spans="2:6" x14ac:dyDescent="0.3">
      <c r="B188" s="231">
        <f ca="1">IF(Altitude_culmi&gt;350, 90, NA())</f>
        <v>90</v>
      </c>
      <c r="C188" s="5">
        <v>25</v>
      </c>
      <c r="D188" s="82">
        <f t="shared" ca="1" si="2"/>
        <v>458.0825800571597</v>
      </c>
      <c r="E188" s="82"/>
      <c r="F188" s="214">
        <f t="shared" ca="1" si="3"/>
        <v>413.0825800571597</v>
      </c>
    </row>
    <row r="189" spans="2:6" x14ac:dyDescent="0.3">
      <c r="B189" s="231">
        <f ca="1">IF(Altitude_culmi&gt;350, 57, NA())</f>
        <v>57</v>
      </c>
      <c r="C189" s="5">
        <v>30</v>
      </c>
      <c r="D189" s="82">
        <f t="shared" ca="1" si="2"/>
        <v>463.0825800571597</v>
      </c>
      <c r="E189" s="82"/>
      <c r="F189" s="214">
        <f t="shared" ca="1" si="3"/>
        <v>408.0825800571597</v>
      </c>
    </row>
    <row r="190" spans="2:6" x14ac:dyDescent="0.3">
      <c r="B190" s="231">
        <f ca="1">IF(Altitude_culmi&gt;350, 40, NA())</f>
        <v>40</v>
      </c>
      <c r="C190" s="5">
        <v>36</v>
      </c>
      <c r="D190" s="82">
        <f t="shared" ca="1" si="2"/>
        <v>469.0825800571597</v>
      </c>
      <c r="E190" s="82"/>
      <c r="F190" s="214">
        <f t="shared" ca="1" si="3"/>
        <v>403.0825800571597</v>
      </c>
    </row>
    <row r="191" spans="2:6" x14ac:dyDescent="0.3">
      <c r="B191" s="231">
        <f ca="1">IF(Altitude_culmi&gt;350, 20, NA())</f>
        <v>20</v>
      </c>
      <c r="C191" s="5">
        <v>48</v>
      </c>
      <c r="D191" s="82">
        <f t="shared" ca="1" si="2"/>
        <v>481.0825800571597</v>
      </c>
      <c r="E191" s="82"/>
      <c r="F191" s="214">
        <f t="shared" ca="1" si="3"/>
        <v>397.0825800571597</v>
      </c>
    </row>
    <row r="192" spans="2:6" x14ac:dyDescent="0.3">
      <c r="B192" s="231">
        <f ca="1">IF(Altitude_culmi&gt;350, 0.5, NA())</f>
        <v>0.5</v>
      </c>
      <c r="C192" s="5">
        <v>62</v>
      </c>
      <c r="D192" s="82">
        <f t="shared" ca="1" si="2"/>
        <v>495.0825800571597</v>
      </c>
      <c r="E192" s="82"/>
      <c r="F192" s="214">
        <f t="shared" ca="1" si="3"/>
        <v>385.0825800571597</v>
      </c>
    </row>
    <row r="193" spans="2:6" x14ac:dyDescent="0.3">
      <c r="B193" s="231">
        <f ca="1">IF(Altitude_culmi&gt;350, 0.5, NA())</f>
        <v>0.5</v>
      </c>
      <c r="C193" s="5">
        <v>37</v>
      </c>
      <c r="D193" s="82">
        <f t="shared" ca="1" si="2"/>
        <v>470.0825800571597</v>
      </c>
      <c r="E193" s="82"/>
      <c r="F193" s="214">
        <f t="shared" ca="1" si="3"/>
        <v>371.0825800571597</v>
      </c>
    </row>
    <row r="194" spans="2:6" x14ac:dyDescent="0.3">
      <c r="B194" s="231">
        <f ca="1">IF(Altitude_culmi&gt;350, 15, NA())</f>
        <v>15</v>
      </c>
      <c r="C194" s="5">
        <v>30</v>
      </c>
      <c r="D194" s="82">
        <f t="shared" ca="1" si="2"/>
        <v>463.0825800571597</v>
      </c>
      <c r="E194" s="82"/>
      <c r="F194" s="214">
        <f t="shared" ca="1" si="3"/>
        <v>396.0825800571597</v>
      </c>
    </row>
    <row r="195" spans="2:6" x14ac:dyDescent="0.3">
      <c r="B195" s="231">
        <f ca="1">IF(Altitude_culmi&gt;350, 30, NA())</f>
        <v>30</v>
      </c>
      <c r="C195" s="5">
        <v>15</v>
      </c>
      <c r="D195" s="82">
        <f t="shared" ca="1" si="2"/>
        <v>448.0825800571597</v>
      </c>
      <c r="E195" s="82"/>
      <c r="F195" s="214">
        <f t="shared" ca="1" si="3"/>
        <v>403.0825800571597</v>
      </c>
    </row>
    <row r="196" spans="2:6" x14ac:dyDescent="0.3">
      <c r="B196" s="231">
        <f ca="1">IF(Altitude_culmi&gt;350, 37, NA())</f>
        <v>37</v>
      </c>
      <c r="C196" s="5">
        <v>0</v>
      </c>
      <c r="D196" s="82">
        <f t="shared" ca="1" si="2"/>
        <v>433.0825800571597</v>
      </c>
      <c r="E196" s="82"/>
      <c r="F196" s="214">
        <f t="shared" ca="1" si="3"/>
        <v>418.0825800571597</v>
      </c>
    </row>
    <row r="197" spans="2:6" x14ac:dyDescent="0.3">
      <c r="B197" s="231">
        <f ca="1">IF(Altitude_culmi&gt;350, 67, NA())</f>
        <v>67</v>
      </c>
      <c r="C197" s="5">
        <v>0</v>
      </c>
      <c r="D197" s="82">
        <f t="shared" ca="1" si="2"/>
        <v>433.0825800571597</v>
      </c>
      <c r="E197" s="82"/>
      <c r="F197" s="214">
        <f t="shared" ca="1" si="3"/>
        <v>433.0825800571597</v>
      </c>
    </row>
    <row r="198" spans="2:6" x14ac:dyDescent="0.3">
      <c r="B198" s="231">
        <f ca="1">IF(Altitude_culmi&gt;350, 67, NA())</f>
        <v>67</v>
      </c>
      <c r="C198" s="5">
        <v>17</v>
      </c>
      <c r="D198" s="82">
        <f t="shared" ca="1" si="2"/>
        <v>450.0825800571597</v>
      </c>
      <c r="E198" s="82"/>
      <c r="F198" s="214">
        <f t="shared" ca="1" si="3"/>
        <v>433.0825800571597</v>
      </c>
    </row>
    <row r="199" spans="2:6" x14ac:dyDescent="0.3">
      <c r="B199" s="231">
        <f ca="1">IF(Altitude_culmi&gt;350, 100, NA())</f>
        <v>100</v>
      </c>
      <c r="C199" s="5">
        <v>11</v>
      </c>
      <c r="D199" s="82">
        <f t="shared" ca="1" si="2"/>
        <v>444.0825800571597</v>
      </c>
      <c r="E199" s="82"/>
      <c r="F199" s="214">
        <f t="shared" ca="1" si="3"/>
        <v>416.0825800571597</v>
      </c>
    </row>
    <row r="200" spans="2:6" x14ac:dyDescent="0.3">
      <c r="B200" s="229">
        <f ca="1">IF(Altitude_culmi&gt;350, 100, NA())</f>
        <v>100</v>
      </c>
      <c r="C200" s="421">
        <v>0</v>
      </c>
      <c r="D200" s="230">
        <f t="shared" ca="1" si="2"/>
        <v>433.0825800571597</v>
      </c>
      <c r="E200" s="82"/>
      <c r="F200" s="214">
        <f t="shared" ca="1" si="3"/>
        <v>422.0825800571597</v>
      </c>
    </row>
    <row r="201" spans="2:6" x14ac:dyDescent="0.3">
      <c r="E201" s="230"/>
      <c r="F201" s="216">
        <f t="shared" ca="1" si="3"/>
        <v>433.0825800571597</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27214</xdr:colOff>
                <xdr:row>94</xdr:row>
                <xdr:rowOff>76200</xdr:rowOff>
              </from>
              <to>
                <xdr:col>3</xdr:col>
                <xdr:colOff>762000</xdr:colOff>
                <xdr:row>100</xdr:row>
                <xdr:rowOff>97971</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157843</xdr:rowOff>
                  </from>
                  <to>
                    <xdr:col>4</xdr:col>
                    <xdr:colOff>0</xdr:colOff>
                    <xdr:row>11</xdr:row>
                    <xdr:rowOff>5443</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10886</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10886</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10886</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10886</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defaultColWidth="11.07421875" defaultRowHeight="12.45" x14ac:dyDescent="0.3"/>
  <sheetData>
    <row r="75" spans="2:2" x14ac:dyDescent="0.3">
      <c r="B75" t="s">
        <v>43</v>
      </c>
    </row>
    <row r="76" spans="2:2" x14ac:dyDescent="0.3">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3">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3">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3">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3">
      <c r="B131" s="24" t="str">
        <f>IF(Lang="Français","Textes pour les graphiques :","Texts for graphics :")</f>
        <v>Textes pour les graphiques :</v>
      </c>
    </row>
    <row r="133" spans="2:2" x14ac:dyDescent="0.3">
      <c r="B133" t="str">
        <f>IF(Lang="Français","Traînée",IF(Lang="English","Drag",""))</f>
        <v>Traînée</v>
      </c>
    </row>
    <row r="134" spans="2:2" x14ac:dyDescent="0.3">
      <c r="B134" t="str">
        <f>IF(Lang="Français","Poussée",IF(Lang="English","Thrust",""))</f>
        <v>Poussée</v>
      </c>
    </row>
    <row r="135" spans="2:2" x14ac:dyDescent="0.3">
      <c r="B135" t="str">
        <f>IF(Lang="Français","Poids",IF(Lang="English","Weight",""))</f>
        <v>Poids</v>
      </c>
    </row>
    <row r="137" spans="2:2" x14ac:dyDescent="0.3">
      <c r="B137" t="str">
        <f>IF(Lang="Français","Accélération longitudinale",IF(Lang="English","Longitudinal Acceleration",""))</f>
        <v>Accélération longitudinale</v>
      </c>
    </row>
    <row r="138" spans="2:2" x14ac:dyDescent="0.3">
      <c r="B138" t="str">
        <f>IF(Lang="Français","Charge vue par un capteur",IF(Lang="English","Load seen by a sensor",""))</f>
        <v>Charge vue par un capteur</v>
      </c>
    </row>
    <row r="140" spans="2:2" x14ac:dyDescent="0.3">
      <c r="B140" t="str">
        <f>IF(Lang="Français","Vitesse",IF(Lang="English","Velocity",""))</f>
        <v>Vitesse</v>
      </c>
    </row>
    <row r="141" spans="2:2" x14ac:dyDescent="0.3">
      <c r="B141" t="str">
        <f>IF(Lang="Français","Vitesse [m/s]",IF(Lang="English","Velocity [m/s]",""))</f>
        <v>Vitesse [m/s]</v>
      </c>
    </row>
    <row r="143" spans="2:2" x14ac:dyDescent="0.3">
      <c r="B143" t="s">
        <v>6</v>
      </c>
    </row>
    <row r="144" spans="2:2" x14ac:dyDescent="0.3">
      <c r="B144" t="str">
        <f>IF(Lang="Français","Portée",IF(Lang="English","Range",""))</f>
        <v>Portée</v>
      </c>
    </row>
    <row r="146" spans="2:2" x14ac:dyDescent="0.3">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P11" sqref="P11"/>
    </sheetView>
  </sheetViews>
  <sheetFormatPr defaultColWidth="11.07421875" defaultRowHeight="12.45" x14ac:dyDescent="0.3"/>
  <cols>
    <col min="1" max="1" width="22.61328125" bestFit="1" customWidth="1"/>
  </cols>
  <sheetData>
    <row r="1" spans="1:26" ht="12.9" thickBot="1" x14ac:dyDescent="0.35">
      <c r="A1" s="362" t="str">
        <f>IF(Lang="Français","Moteur sélectionné","Selected motor")</f>
        <v>Moteur sélectionné</v>
      </c>
      <c r="B1" s="362" t="s">
        <v>32</v>
      </c>
    </row>
    <row r="2" spans="1:26" ht="12.9" thickBot="1" x14ac:dyDescent="0.3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271</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392</v>
      </c>
      <c r="X2" s="464">
        <f ca="1">INDIRECT(ADDRESS(B2,24))</f>
        <v>0</v>
      </c>
      <c r="Y2" s="463" t="s">
        <v>391</v>
      </c>
      <c r="Z2" s="358">
        <f ca="1">INDIRECT(ADDRESS(B2,26))</f>
        <v>0</v>
      </c>
    </row>
    <row r="3" spans="1:26" x14ac:dyDescent="0.3">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2.9" thickBot="1" x14ac:dyDescent="0.3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3">
      <c r="B5" s="12"/>
      <c r="C5" s="12"/>
      <c r="D5" s="12"/>
      <c r="E5" s="12"/>
      <c r="F5" s="12"/>
      <c r="G5" s="12"/>
      <c r="H5" s="12"/>
      <c r="I5" s="12"/>
      <c r="J5" s="12"/>
      <c r="K5" s="12"/>
      <c r="L5" s="12"/>
      <c r="M5" s="12"/>
      <c r="N5" s="12"/>
      <c r="O5" s="12"/>
      <c r="P5" s="12"/>
      <c r="Q5" s="12"/>
      <c r="R5" s="12"/>
      <c r="S5" s="12"/>
      <c r="T5" s="12"/>
      <c r="U5" s="12"/>
      <c r="V5" s="12"/>
      <c r="W5" s="12"/>
      <c r="X5" s="12"/>
      <c r="Y5" s="12"/>
    </row>
    <row r="6" spans="1:26" x14ac:dyDescent="0.3">
      <c r="B6" s="12"/>
      <c r="C6" s="12"/>
      <c r="D6" s="12"/>
      <c r="E6" s="12"/>
      <c r="F6" s="12"/>
      <c r="G6" s="12"/>
      <c r="H6" s="12"/>
      <c r="I6" s="12"/>
      <c r="J6" s="12"/>
      <c r="K6" s="12"/>
      <c r="L6" s="12"/>
      <c r="M6" s="12"/>
      <c r="N6" s="12"/>
      <c r="O6" s="12"/>
      <c r="P6" s="12"/>
      <c r="Q6" s="12"/>
      <c r="R6" s="12"/>
      <c r="S6" s="12"/>
      <c r="T6" s="12"/>
      <c r="U6" s="12"/>
      <c r="V6" s="12"/>
      <c r="W6" s="12"/>
      <c r="X6" s="12"/>
      <c r="Y6" s="12"/>
    </row>
    <row r="7" spans="1:26" x14ac:dyDescent="0.3">
      <c r="B7" s="12"/>
      <c r="C7" s="12"/>
      <c r="D7" s="12"/>
      <c r="E7" s="12"/>
      <c r="F7" s="12"/>
      <c r="G7" s="12"/>
      <c r="H7" s="12"/>
      <c r="I7" s="12"/>
      <c r="J7" s="12"/>
      <c r="K7" s="12"/>
      <c r="L7" s="12"/>
      <c r="M7" s="12"/>
    </row>
    <row r="8" spans="1:26" x14ac:dyDescent="0.3">
      <c r="B8" s="12"/>
      <c r="C8" s="12"/>
      <c r="D8" s="12"/>
      <c r="E8" s="12"/>
      <c r="F8" s="12"/>
      <c r="G8" s="12"/>
      <c r="H8" s="12"/>
      <c r="I8" s="12"/>
      <c r="J8" s="12"/>
      <c r="K8" s="12"/>
      <c r="L8" s="12"/>
      <c r="M8" s="12"/>
    </row>
    <row r="9" spans="1:26" x14ac:dyDescent="0.3">
      <c r="B9" s="12"/>
      <c r="C9" s="12"/>
      <c r="D9" s="12"/>
      <c r="E9" s="12"/>
      <c r="F9" s="12"/>
      <c r="G9" s="12"/>
      <c r="H9" s="12"/>
      <c r="I9" s="12"/>
      <c r="J9" s="12"/>
      <c r="K9" s="12"/>
      <c r="L9" s="12"/>
      <c r="M9" s="12"/>
    </row>
    <row r="10" spans="1:26" x14ac:dyDescent="0.3">
      <c r="B10" s="12"/>
      <c r="C10" s="12"/>
      <c r="D10" s="12"/>
      <c r="E10" s="12"/>
      <c r="F10" s="12"/>
      <c r="G10" s="12"/>
      <c r="H10" s="12"/>
      <c r="I10" s="12"/>
      <c r="J10" s="12"/>
    </row>
    <row r="11" spans="1:26" x14ac:dyDescent="0.3">
      <c r="B11" s="12"/>
      <c r="C11" s="12"/>
      <c r="D11" s="12"/>
      <c r="E11" s="12"/>
      <c r="F11" s="12"/>
      <c r="G11" s="12"/>
      <c r="H11" s="12"/>
      <c r="I11" s="12"/>
      <c r="J11" s="12"/>
    </row>
    <row r="12" spans="1:26" x14ac:dyDescent="0.3">
      <c r="B12" s="12"/>
      <c r="C12" s="12"/>
      <c r="D12" s="12"/>
      <c r="E12" s="12"/>
      <c r="F12" s="12"/>
      <c r="G12" s="12"/>
      <c r="H12" s="12"/>
      <c r="I12" s="12"/>
      <c r="J12" s="12"/>
    </row>
    <row r="13" spans="1:26" x14ac:dyDescent="0.3">
      <c r="B13" s="12"/>
      <c r="C13" s="12"/>
      <c r="D13" s="12"/>
      <c r="E13" s="12"/>
      <c r="F13" s="12"/>
      <c r="G13" s="12"/>
      <c r="H13" s="12"/>
      <c r="I13" s="12"/>
      <c r="J13" s="12"/>
    </row>
    <row r="14" spans="1:26" x14ac:dyDescent="0.3">
      <c r="B14" s="12"/>
      <c r="C14" s="12"/>
      <c r="D14" s="12"/>
      <c r="E14" s="12"/>
      <c r="F14" s="12"/>
      <c r="G14" s="12"/>
      <c r="H14" s="12"/>
      <c r="I14" s="12"/>
      <c r="J14" s="12"/>
    </row>
    <row r="15" spans="1:26" x14ac:dyDescent="0.3">
      <c r="B15" s="12"/>
      <c r="C15" s="12"/>
      <c r="D15" s="12"/>
      <c r="E15" s="12"/>
      <c r="F15" s="12"/>
      <c r="G15" s="12"/>
      <c r="H15" s="12"/>
      <c r="I15" s="12"/>
      <c r="J15" s="12"/>
      <c r="K15" s="12"/>
      <c r="L15" s="12"/>
      <c r="M15" s="12"/>
    </row>
    <row r="16" spans="1:26" x14ac:dyDescent="0.3">
      <c r="B16" s="12"/>
      <c r="C16" s="12"/>
      <c r="D16" s="12"/>
      <c r="E16" s="12"/>
      <c r="F16" s="12"/>
      <c r="G16" s="12"/>
      <c r="H16" s="12"/>
      <c r="I16" s="12"/>
      <c r="J16" s="12"/>
      <c r="K16" s="12"/>
      <c r="L16" s="12"/>
      <c r="M16" s="12"/>
    </row>
    <row r="17" spans="1:25" x14ac:dyDescent="0.3">
      <c r="B17" s="12"/>
      <c r="C17" s="12"/>
      <c r="D17" s="12"/>
      <c r="E17" s="12"/>
      <c r="F17" s="12"/>
      <c r="G17" s="12"/>
      <c r="H17" s="12"/>
      <c r="I17" s="12"/>
      <c r="J17" s="12"/>
      <c r="K17" s="12"/>
      <c r="L17" s="12"/>
      <c r="M17" s="12"/>
    </row>
    <row r="18" spans="1:25" x14ac:dyDescent="0.3">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3">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3">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3">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3">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3">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2.9" thickBot="1" x14ac:dyDescent="0.35">
      <c r="A25" s="6" t="s">
        <v>274</v>
      </c>
    </row>
    <row r="26" spans="1:25" ht="12.9" thickBot="1" x14ac:dyDescent="0.35">
      <c r="A26" s="361" t="s">
        <v>307</v>
      </c>
      <c r="B26" s="359">
        <f>ROW(A26)</f>
        <v>26</v>
      </c>
      <c r="C26" s="363" t="s">
        <v>115</v>
      </c>
      <c r="D26" s="353">
        <f>SUM(B29:Y29)</f>
        <v>9.8449999999999989</v>
      </c>
      <c r="E26" s="363" t="s">
        <v>114</v>
      </c>
      <c r="F26" s="399">
        <f>D26/g/J26</f>
        <v>3.3452259599048584</v>
      </c>
      <c r="G26" s="363" t="s">
        <v>56</v>
      </c>
      <c r="H26" s="64">
        <v>0.3</v>
      </c>
      <c r="I26" s="363" t="s">
        <v>269</v>
      </c>
      <c r="J26" s="355">
        <f>H26-L26</f>
        <v>0.3</v>
      </c>
      <c r="K26" s="363" t="s">
        <v>270</v>
      </c>
      <c r="L26" s="64">
        <v>0</v>
      </c>
      <c r="M26" s="363" t="s">
        <v>57</v>
      </c>
      <c r="N26" s="65">
        <f>0.2*R26</f>
        <v>60</v>
      </c>
      <c r="O26" s="363" t="s">
        <v>59</v>
      </c>
      <c r="P26" s="65">
        <v>150</v>
      </c>
      <c r="Q26" s="363" t="s">
        <v>60</v>
      </c>
      <c r="R26" s="65">
        <v>300</v>
      </c>
      <c r="S26" s="363" t="s">
        <v>61</v>
      </c>
      <c r="T26" s="65">
        <v>90</v>
      </c>
      <c r="U26" s="363" t="s">
        <v>54</v>
      </c>
      <c r="V26" s="66" t="s">
        <v>274</v>
      </c>
      <c r="W26" s="12"/>
      <c r="X26" s="12"/>
      <c r="Y26" s="12"/>
    </row>
    <row r="27" spans="1:25" x14ac:dyDescent="0.3">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3">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2.9" thickBot="1" x14ac:dyDescent="0.3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2.9" thickBot="1" x14ac:dyDescent="0.35">
      <c r="A30" s="12"/>
      <c r="L30" s="12"/>
      <c r="M30" s="12"/>
      <c r="N30" s="12"/>
      <c r="O30" s="12"/>
      <c r="P30" s="12"/>
      <c r="Q30" s="12"/>
      <c r="R30" s="12"/>
      <c r="S30" s="12"/>
      <c r="T30" s="12"/>
      <c r="U30" s="12"/>
      <c r="V30" s="12"/>
      <c r="W30" s="12"/>
      <c r="X30" s="12"/>
      <c r="Y30" s="12"/>
    </row>
    <row r="31" spans="1:25" ht="12.9" thickBot="1" x14ac:dyDescent="0.35">
      <c r="A31" s="361" t="s">
        <v>308</v>
      </c>
      <c r="B31" s="359">
        <f>ROW(A31)</f>
        <v>31</v>
      </c>
      <c r="C31" s="363" t="s">
        <v>115</v>
      </c>
      <c r="D31" s="353">
        <f>SUM(B34:Y34)</f>
        <v>13.814500000000002</v>
      </c>
      <c r="E31" s="363" t="s">
        <v>114</v>
      </c>
      <c r="F31" s="399">
        <f>D31/g/J31</f>
        <v>3.1293464718541175</v>
      </c>
      <c r="G31" s="363" t="s">
        <v>56</v>
      </c>
      <c r="H31" s="64">
        <v>0.45</v>
      </c>
      <c r="I31" s="363" t="s">
        <v>269</v>
      </c>
      <c r="J31" s="355">
        <f>H31-L31</f>
        <v>0.45</v>
      </c>
      <c r="K31" s="363" t="s">
        <v>270</v>
      </c>
      <c r="L31" s="64">
        <v>0</v>
      </c>
      <c r="M31" s="363" t="s">
        <v>57</v>
      </c>
      <c r="N31" s="65">
        <f>0.3*R31</f>
        <v>90</v>
      </c>
      <c r="O31" s="363" t="s">
        <v>59</v>
      </c>
      <c r="P31" s="65">
        <v>150</v>
      </c>
      <c r="Q31" s="363" t="s">
        <v>60</v>
      </c>
      <c r="R31" s="65">
        <v>300</v>
      </c>
      <c r="S31" s="363" t="s">
        <v>61</v>
      </c>
      <c r="T31" s="65">
        <v>90</v>
      </c>
      <c r="U31" s="363" t="s">
        <v>54</v>
      </c>
      <c r="V31" s="66" t="s">
        <v>274</v>
      </c>
      <c r="W31" s="12"/>
      <c r="X31" s="12"/>
      <c r="Y31" s="12"/>
    </row>
    <row r="32" spans="1:25" x14ac:dyDescent="0.3">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3">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2.9" thickBot="1" x14ac:dyDescent="0.3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2.9" thickBot="1" x14ac:dyDescent="0.3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2.9" thickBot="1" x14ac:dyDescent="0.35">
      <c r="A36" s="361" t="s">
        <v>309</v>
      </c>
      <c r="B36" s="359">
        <f>ROW(A36)</f>
        <v>36</v>
      </c>
      <c r="C36" s="363" t="s">
        <v>115</v>
      </c>
      <c r="D36" s="353">
        <f>SUM(B39:Y39)</f>
        <v>17.144499999999997</v>
      </c>
      <c r="E36" s="363" t="s">
        <v>114</v>
      </c>
      <c r="F36" s="399">
        <f>D36/g/J36</f>
        <v>2.9127590893645934</v>
      </c>
      <c r="G36" s="363" t="s">
        <v>56</v>
      </c>
      <c r="H36" s="64">
        <v>0.6</v>
      </c>
      <c r="I36" s="363" t="s">
        <v>269</v>
      </c>
      <c r="J36" s="355">
        <f>H36-L36</f>
        <v>0.6</v>
      </c>
      <c r="K36" s="363" t="s">
        <v>270</v>
      </c>
      <c r="L36" s="64">
        <v>0</v>
      </c>
      <c r="M36" s="363" t="s">
        <v>57</v>
      </c>
      <c r="N36" s="65">
        <f>0.4*R36</f>
        <v>120</v>
      </c>
      <c r="O36" s="363" t="s">
        <v>59</v>
      </c>
      <c r="P36" s="65">
        <v>150</v>
      </c>
      <c r="Q36" s="363" t="s">
        <v>60</v>
      </c>
      <c r="R36" s="65">
        <v>300</v>
      </c>
      <c r="S36" s="363" t="s">
        <v>61</v>
      </c>
      <c r="T36" s="65">
        <v>90</v>
      </c>
      <c r="U36" s="363" t="s">
        <v>54</v>
      </c>
      <c r="V36" s="66" t="s">
        <v>274</v>
      </c>
      <c r="W36" s="12"/>
      <c r="X36" s="12"/>
      <c r="Y36" s="12"/>
    </row>
    <row r="37" spans="1:25" x14ac:dyDescent="0.3">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3">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2.9" thickBot="1" x14ac:dyDescent="0.3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2.9" thickBot="1" x14ac:dyDescent="0.35">
      <c r="A40" s="12"/>
      <c r="L40" s="12"/>
      <c r="M40" s="12"/>
      <c r="N40" s="12"/>
      <c r="O40" s="12"/>
      <c r="P40" s="12"/>
      <c r="Q40" s="12"/>
      <c r="R40" s="12"/>
      <c r="S40" s="12"/>
      <c r="T40" s="12"/>
      <c r="U40" s="12"/>
      <c r="V40" s="12"/>
      <c r="W40" s="12"/>
      <c r="X40" s="12"/>
      <c r="Y40" s="12"/>
    </row>
    <row r="41" spans="1:25" ht="12.9" thickBot="1" x14ac:dyDescent="0.35">
      <c r="A41" s="361" t="s">
        <v>310</v>
      </c>
      <c r="B41" s="359">
        <f>ROW(A41)</f>
        <v>41</v>
      </c>
      <c r="C41" s="363" t="s">
        <v>115</v>
      </c>
      <c r="D41" s="353">
        <f>SUM(B44:Y44)</f>
        <v>19.415000000000003</v>
      </c>
      <c r="E41" s="363" t="s">
        <v>114</v>
      </c>
      <c r="F41" s="399">
        <f>D41/g/J41</f>
        <v>2.6388039415562354</v>
      </c>
      <c r="G41" s="363" t="s">
        <v>56</v>
      </c>
      <c r="H41" s="64">
        <v>0.75</v>
      </c>
      <c r="I41" s="363" t="s">
        <v>269</v>
      </c>
      <c r="J41" s="355">
        <f>H41-L41</f>
        <v>0.75</v>
      </c>
      <c r="K41" s="363" t="s">
        <v>270</v>
      </c>
      <c r="L41" s="64">
        <v>0</v>
      </c>
      <c r="M41" s="363" t="s">
        <v>57</v>
      </c>
      <c r="N41" s="65">
        <f>0.5*R41</f>
        <v>150</v>
      </c>
      <c r="O41" s="363" t="s">
        <v>59</v>
      </c>
      <c r="P41" s="65">
        <v>150</v>
      </c>
      <c r="Q41" s="363" t="s">
        <v>60</v>
      </c>
      <c r="R41" s="65">
        <v>300</v>
      </c>
      <c r="S41" s="363" t="s">
        <v>61</v>
      </c>
      <c r="T41" s="65">
        <v>90</v>
      </c>
      <c r="U41" s="363" t="s">
        <v>54</v>
      </c>
      <c r="V41" s="66" t="s">
        <v>274</v>
      </c>
      <c r="W41" s="12"/>
      <c r="X41" s="12"/>
      <c r="Y41" s="12"/>
    </row>
    <row r="42" spans="1:25" x14ac:dyDescent="0.3">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3">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2.9" thickBot="1" x14ac:dyDescent="0.3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2.9" thickBot="1" x14ac:dyDescent="0.35"/>
    <row r="46" spans="1:25" ht="12.9" thickBot="1" x14ac:dyDescent="0.35">
      <c r="A46" s="361" t="s">
        <v>275</v>
      </c>
      <c r="B46" s="359">
        <f>ROW(A46)</f>
        <v>46</v>
      </c>
      <c r="C46" s="363" t="s">
        <v>115</v>
      </c>
      <c r="D46" s="353">
        <f>SUM(B49:Y49)</f>
        <v>12.8695</v>
      </c>
      <c r="E46" s="363" t="s">
        <v>114</v>
      </c>
      <c r="F46" s="399">
        <f>D46/g/J46</f>
        <v>3.2796890927624869</v>
      </c>
      <c r="G46" s="363" t="s">
        <v>56</v>
      </c>
      <c r="H46" s="64">
        <v>0.5</v>
      </c>
      <c r="I46" s="363" t="s">
        <v>269</v>
      </c>
      <c r="J46" s="355">
        <f>H46-L46</f>
        <v>0.4</v>
      </c>
      <c r="K46" s="363" t="s">
        <v>270</v>
      </c>
      <c r="L46" s="64">
        <v>0.1</v>
      </c>
      <c r="M46" s="363" t="s">
        <v>57</v>
      </c>
      <c r="N46" s="65">
        <f>0.2*R46</f>
        <v>60</v>
      </c>
      <c r="O46" s="363" t="s">
        <v>59</v>
      </c>
      <c r="P46" s="65">
        <v>150</v>
      </c>
      <c r="Q46" s="363" t="s">
        <v>60</v>
      </c>
      <c r="R46" s="65">
        <v>300</v>
      </c>
      <c r="S46" s="363" t="s">
        <v>61</v>
      </c>
      <c r="T46" s="65">
        <v>98</v>
      </c>
      <c r="U46" s="363" t="s">
        <v>54</v>
      </c>
      <c r="V46" s="66" t="s">
        <v>274</v>
      </c>
      <c r="W46" s="12"/>
      <c r="X46" s="12"/>
      <c r="Y46" s="12"/>
    </row>
    <row r="47" spans="1:25" x14ac:dyDescent="0.3">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3">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2.9" thickBot="1" x14ac:dyDescent="0.3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2.9" thickBot="1" x14ac:dyDescent="0.35">
      <c r="A50" s="12"/>
      <c r="L50" s="12"/>
      <c r="M50" s="12"/>
      <c r="N50" s="12"/>
      <c r="O50" s="12"/>
      <c r="P50" s="12"/>
      <c r="Q50" s="12"/>
      <c r="R50" s="12"/>
      <c r="S50" s="12"/>
      <c r="T50" s="12"/>
      <c r="U50" s="12"/>
      <c r="V50" s="12"/>
      <c r="W50" s="12"/>
      <c r="X50" s="12"/>
      <c r="Y50" s="12"/>
    </row>
    <row r="51" spans="1:25" ht="12.9" thickBot="1" x14ac:dyDescent="0.35">
      <c r="A51" s="361" t="s">
        <v>276</v>
      </c>
      <c r="B51" s="359">
        <f>ROW(A51)</f>
        <v>51</v>
      </c>
      <c r="C51" s="363" t="s">
        <v>115</v>
      </c>
      <c r="D51" s="353">
        <f>SUM(B54:Y54)</f>
        <v>18.123500000000003</v>
      </c>
      <c r="E51" s="363" t="s">
        <v>114</v>
      </c>
      <c r="F51" s="399">
        <f>D51/g/J51</f>
        <v>3.0790859667006463</v>
      </c>
      <c r="G51" s="363" t="s">
        <v>56</v>
      </c>
      <c r="H51" s="64">
        <v>0.7</v>
      </c>
      <c r="I51" s="363" t="s">
        <v>269</v>
      </c>
      <c r="J51" s="355">
        <f>H51-L51</f>
        <v>0.6</v>
      </c>
      <c r="K51" s="363" t="s">
        <v>270</v>
      </c>
      <c r="L51" s="64">
        <v>0.1</v>
      </c>
      <c r="M51" s="363" t="s">
        <v>57</v>
      </c>
      <c r="N51" s="65">
        <f>0.3*R51</f>
        <v>90</v>
      </c>
      <c r="O51" s="363" t="s">
        <v>59</v>
      </c>
      <c r="P51" s="65">
        <v>150</v>
      </c>
      <c r="Q51" s="363" t="s">
        <v>60</v>
      </c>
      <c r="R51" s="65">
        <v>300</v>
      </c>
      <c r="S51" s="363" t="s">
        <v>61</v>
      </c>
      <c r="T51" s="65">
        <v>98</v>
      </c>
      <c r="U51" s="363" t="s">
        <v>54</v>
      </c>
      <c r="V51" s="66" t="s">
        <v>274</v>
      </c>
      <c r="W51" s="12"/>
      <c r="X51" s="12"/>
      <c r="Y51" s="12"/>
    </row>
    <row r="52" spans="1:25" x14ac:dyDescent="0.3">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3">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2.9" thickBot="1" x14ac:dyDescent="0.3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2.9" thickBot="1" x14ac:dyDescent="0.3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2.9" thickBot="1" x14ac:dyDescent="0.35">
      <c r="A56" s="361" t="s">
        <v>277</v>
      </c>
      <c r="B56" s="359">
        <f>ROW(A56)</f>
        <v>56</v>
      </c>
      <c r="C56" s="363" t="s">
        <v>115</v>
      </c>
      <c r="D56" s="353">
        <f>SUM(B59:Y59)</f>
        <v>22.610000000000003</v>
      </c>
      <c r="E56" s="363" t="s">
        <v>114</v>
      </c>
      <c r="F56" s="399">
        <f>D56/g/J56</f>
        <v>2.88098878695209</v>
      </c>
      <c r="G56" s="363" t="s">
        <v>56</v>
      </c>
      <c r="H56" s="64">
        <v>0.9</v>
      </c>
      <c r="I56" s="363" t="s">
        <v>269</v>
      </c>
      <c r="J56" s="355">
        <f>H56-L56</f>
        <v>0.8</v>
      </c>
      <c r="K56" s="363" t="s">
        <v>270</v>
      </c>
      <c r="L56" s="64">
        <v>0.1</v>
      </c>
      <c r="M56" s="363" t="s">
        <v>57</v>
      </c>
      <c r="N56" s="65">
        <f>0.4*R56</f>
        <v>120</v>
      </c>
      <c r="O56" s="363" t="s">
        <v>59</v>
      </c>
      <c r="P56" s="65">
        <v>150</v>
      </c>
      <c r="Q56" s="363" t="s">
        <v>60</v>
      </c>
      <c r="R56" s="65">
        <v>300</v>
      </c>
      <c r="S56" s="363" t="s">
        <v>61</v>
      </c>
      <c r="T56" s="65">
        <v>98</v>
      </c>
      <c r="U56" s="363" t="s">
        <v>54</v>
      </c>
      <c r="V56" s="66" t="s">
        <v>274</v>
      </c>
      <c r="W56" s="12"/>
      <c r="X56" s="12"/>
      <c r="Y56" s="12"/>
    </row>
    <row r="57" spans="1:25" x14ac:dyDescent="0.3">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3">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2.9" thickBot="1" x14ac:dyDescent="0.3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2.9" thickBot="1" x14ac:dyDescent="0.35">
      <c r="A60" s="12"/>
      <c r="L60" s="12"/>
      <c r="M60" s="12"/>
      <c r="N60" s="12"/>
      <c r="O60" s="12"/>
      <c r="P60" s="12"/>
      <c r="Q60" s="12"/>
      <c r="R60" s="12"/>
      <c r="S60" s="12"/>
      <c r="T60" s="12"/>
      <c r="U60" s="12"/>
      <c r="V60" s="12"/>
      <c r="W60" s="12"/>
      <c r="X60" s="12"/>
      <c r="Y60" s="12"/>
    </row>
    <row r="61" spans="1:25" ht="12.9" thickBot="1" x14ac:dyDescent="0.35">
      <c r="A61" s="361" t="s">
        <v>278</v>
      </c>
      <c r="B61" s="359">
        <f>ROW(A61)</f>
        <v>61</v>
      </c>
      <c r="C61" s="363" t="s">
        <v>115</v>
      </c>
      <c r="D61" s="353">
        <f>SUM(B64:Y64)</f>
        <v>25.874000000000006</v>
      </c>
      <c r="E61" s="363" t="s">
        <v>114</v>
      </c>
      <c r="F61" s="399">
        <f>D61/g/J61</f>
        <v>2.6375127420998985</v>
      </c>
      <c r="G61" s="363" t="s">
        <v>56</v>
      </c>
      <c r="H61" s="64">
        <v>1.1000000000000001</v>
      </c>
      <c r="I61" s="363" t="s">
        <v>269</v>
      </c>
      <c r="J61" s="355">
        <f>H61-L61</f>
        <v>1</v>
      </c>
      <c r="K61" s="363" t="s">
        <v>270</v>
      </c>
      <c r="L61" s="64">
        <v>0.1</v>
      </c>
      <c r="M61" s="363" t="s">
        <v>57</v>
      </c>
      <c r="N61" s="65">
        <f>0.5*R61</f>
        <v>150</v>
      </c>
      <c r="O61" s="363" t="s">
        <v>59</v>
      </c>
      <c r="P61" s="65">
        <v>150</v>
      </c>
      <c r="Q61" s="363" t="s">
        <v>60</v>
      </c>
      <c r="R61" s="65">
        <v>300</v>
      </c>
      <c r="S61" s="363" t="s">
        <v>61</v>
      </c>
      <c r="T61" s="65">
        <v>98</v>
      </c>
      <c r="U61" s="363" t="s">
        <v>54</v>
      </c>
      <c r="V61" s="66" t="s">
        <v>274</v>
      </c>
      <c r="W61" s="12"/>
      <c r="X61" s="12"/>
      <c r="Y61" s="12"/>
    </row>
    <row r="62" spans="1:25" x14ac:dyDescent="0.3">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3">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2.9" thickBot="1" x14ac:dyDescent="0.3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2.9" thickBot="1" x14ac:dyDescent="0.35">
      <c r="A66" s="6" t="s">
        <v>181</v>
      </c>
    </row>
    <row r="67" spans="1:26" ht="12.9" thickBot="1" x14ac:dyDescent="0.35">
      <c r="A67" s="361" t="s">
        <v>111</v>
      </c>
      <c r="B67" s="359">
        <f>ROW(A67)</f>
        <v>67</v>
      </c>
      <c r="C67" s="363" t="s">
        <v>115</v>
      </c>
      <c r="D67" s="353">
        <f>SUM(B70:Y70)</f>
        <v>2.65</v>
      </c>
      <c r="E67" s="363" t="s">
        <v>114</v>
      </c>
      <c r="F67" s="354">
        <f>D67/g/J67</f>
        <v>54.026503567787969</v>
      </c>
      <c r="G67" s="363" t="s">
        <v>56</v>
      </c>
      <c r="H67" s="64">
        <v>1.4999999999999999E-2</v>
      </c>
      <c r="I67" s="363" t="s">
        <v>269</v>
      </c>
      <c r="J67" s="355">
        <f>H67-L67</f>
        <v>4.9999999999999992E-3</v>
      </c>
      <c r="K67" s="363" t="s">
        <v>270</v>
      </c>
      <c r="L67" s="64">
        <v>0.01</v>
      </c>
      <c r="M67" s="363" t="s">
        <v>57</v>
      </c>
      <c r="N67" s="65">
        <v>30</v>
      </c>
      <c r="O67" s="363" t="s">
        <v>59</v>
      </c>
      <c r="P67" s="65">
        <v>30</v>
      </c>
      <c r="Q67" s="363" t="s">
        <v>60</v>
      </c>
      <c r="R67" s="65">
        <v>70</v>
      </c>
      <c r="S67" s="363" t="s">
        <v>61</v>
      </c>
      <c r="T67" s="65">
        <v>15</v>
      </c>
      <c r="U67" s="363" t="s">
        <v>54</v>
      </c>
      <c r="V67" s="66" t="s">
        <v>117</v>
      </c>
      <c r="W67" s="463" t="s">
        <v>392</v>
      </c>
      <c r="X67" s="465">
        <v>0.32</v>
      </c>
      <c r="Y67" s="463" t="s">
        <v>391</v>
      </c>
      <c r="Z67" s="358">
        <v>3</v>
      </c>
    </row>
    <row r="68" spans="1:26" x14ac:dyDescent="0.3">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3">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2.9" thickBot="1" x14ac:dyDescent="0.3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2.9" thickBot="1" x14ac:dyDescent="0.35">
      <c r="A71" s="12"/>
      <c r="L71" s="12"/>
      <c r="M71" s="12"/>
      <c r="N71" s="12"/>
      <c r="O71" s="12"/>
      <c r="P71" s="12"/>
      <c r="Q71" s="12"/>
      <c r="R71" s="12"/>
      <c r="S71" s="12"/>
      <c r="T71" s="12"/>
      <c r="U71" s="12"/>
      <c r="V71" s="12"/>
      <c r="W71" s="12"/>
      <c r="X71" s="12"/>
      <c r="Y71" s="12"/>
    </row>
    <row r="72" spans="1:26" ht="12.9" thickBot="1" x14ac:dyDescent="0.35">
      <c r="A72" s="361" t="s">
        <v>112</v>
      </c>
      <c r="B72" s="359">
        <f>ROW(A72)</f>
        <v>72</v>
      </c>
      <c r="C72" s="363" t="s">
        <v>115</v>
      </c>
      <c r="D72" s="353">
        <f>SUM(B75:Y75)</f>
        <v>5.25</v>
      </c>
      <c r="E72" s="363" t="s">
        <v>114</v>
      </c>
      <c r="F72" s="354">
        <f>D72/g/J72</f>
        <v>89.1946992864424</v>
      </c>
      <c r="G72" s="363" t="s">
        <v>56</v>
      </c>
      <c r="H72" s="64">
        <v>0.02</v>
      </c>
      <c r="I72" s="363" t="s">
        <v>269</v>
      </c>
      <c r="J72" s="355">
        <f>H72-L72</f>
        <v>6.0000000000000001E-3</v>
      </c>
      <c r="K72" s="363" t="s">
        <v>270</v>
      </c>
      <c r="L72" s="64">
        <v>1.4E-2</v>
      </c>
      <c r="M72" s="363" t="s">
        <v>57</v>
      </c>
      <c r="N72" s="65">
        <v>30</v>
      </c>
      <c r="O72" s="363" t="s">
        <v>59</v>
      </c>
      <c r="P72" s="65">
        <v>30</v>
      </c>
      <c r="Q72" s="363" t="s">
        <v>60</v>
      </c>
      <c r="R72" s="65">
        <v>70</v>
      </c>
      <c r="S72" s="363" t="s">
        <v>61</v>
      </c>
      <c r="T72" s="65">
        <v>15</v>
      </c>
      <c r="U72" s="363" t="s">
        <v>54</v>
      </c>
      <c r="V72" s="66" t="s">
        <v>117</v>
      </c>
      <c r="W72" s="463" t="s">
        <v>392</v>
      </c>
      <c r="X72" s="465">
        <v>1.2</v>
      </c>
      <c r="Y72" s="463" t="s">
        <v>391</v>
      </c>
      <c r="Z72" s="358">
        <v>4</v>
      </c>
    </row>
    <row r="73" spans="1:26" x14ac:dyDescent="0.3">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3">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2.9" thickBot="1" x14ac:dyDescent="0.3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2.9" thickBot="1" x14ac:dyDescent="0.3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2.9" thickBot="1" x14ac:dyDescent="0.35">
      <c r="A77" s="361" t="s">
        <v>113</v>
      </c>
      <c r="B77" s="359">
        <f>ROW(A77)</f>
        <v>77</v>
      </c>
      <c r="C77" s="363" t="s">
        <v>115</v>
      </c>
      <c r="D77" s="353">
        <f>SUM(B80:Y80)</f>
        <v>10.26</v>
      </c>
      <c r="E77" s="363" t="s">
        <v>114</v>
      </c>
      <c r="F77" s="354">
        <f>D77/g/J77</f>
        <v>80.451658433309802</v>
      </c>
      <c r="G77" s="363" t="s">
        <v>56</v>
      </c>
      <c r="H77" s="64">
        <v>2.4E-2</v>
      </c>
      <c r="I77" s="363" t="s">
        <v>269</v>
      </c>
      <c r="J77" s="355">
        <f>H77-L77</f>
        <v>1.3000000000000001E-2</v>
      </c>
      <c r="K77" s="363" t="s">
        <v>270</v>
      </c>
      <c r="L77" s="64">
        <v>1.0999999999999999E-2</v>
      </c>
      <c r="M77" s="363" t="s">
        <v>57</v>
      </c>
      <c r="N77" s="65">
        <v>30</v>
      </c>
      <c r="O77" s="363" t="s">
        <v>59</v>
      </c>
      <c r="P77" s="65">
        <v>30</v>
      </c>
      <c r="Q77" s="363" t="s">
        <v>60</v>
      </c>
      <c r="R77" s="65">
        <v>70</v>
      </c>
      <c r="S77" s="363" t="s">
        <v>61</v>
      </c>
      <c r="T77" s="65">
        <v>15</v>
      </c>
      <c r="U77" s="363" t="s">
        <v>54</v>
      </c>
      <c r="V77" s="66" t="s">
        <v>117</v>
      </c>
      <c r="W77" s="463" t="s">
        <v>392</v>
      </c>
      <c r="X77" s="465">
        <v>1.7</v>
      </c>
      <c r="Y77" s="463" t="s">
        <v>391</v>
      </c>
      <c r="Z77" s="358">
        <v>3</v>
      </c>
    </row>
    <row r="78" spans="1:26" x14ac:dyDescent="0.3">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3">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2.9" thickBot="1" x14ac:dyDescent="0.3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2.9" thickBot="1" x14ac:dyDescent="0.35">
      <c r="A81" s="12"/>
      <c r="L81" s="12"/>
      <c r="M81" s="12"/>
      <c r="N81" s="12"/>
      <c r="O81" s="12"/>
      <c r="P81" s="12"/>
      <c r="Q81" s="12"/>
      <c r="R81" s="12"/>
      <c r="S81" s="12"/>
      <c r="T81" s="12"/>
      <c r="U81" s="12"/>
      <c r="V81" s="12"/>
      <c r="W81" s="12"/>
      <c r="X81" s="12"/>
      <c r="Y81" s="12"/>
    </row>
    <row r="82" spans="1:26" ht="12.9" thickBot="1" x14ac:dyDescent="0.35">
      <c r="A82" s="361" t="s">
        <v>327</v>
      </c>
      <c r="B82" s="359">
        <f>ROW(A82)</f>
        <v>82</v>
      </c>
      <c r="C82" s="363" t="s">
        <v>115</v>
      </c>
      <c r="D82" s="353">
        <f>SUM(B85:Y85)</f>
        <v>20.52</v>
      </c>
      <c r="E82" s="363" t="s">
        <v>114</v>
      </c>
      <c r="F82" s="354">
        <f>D82/g/J82</f>
        <v>80.451658433309802</v>
      </c>
      <c r="G82" s="363" t="s">
        <v>56</v>
      </c>
      <c r="H82" s="64">
        <f>H77*2</f>
        <v>4.8000000000000001E-2</v>
      </c>
      <c r="I82" s="363" t="s">
        <v>269</v>
      </c>
      <c r="J82" s="355">
        <f>H82-L82</f>
        <v>2.6000000000000002E-2</v>
      </c>
      <c r="K82" s="363" t="s">
        <v>270</v>
      </c>
      <c r="L82" s="64">
        <f>L77*2</f>
        <v>2.1999999999999999E-2</v>
      </c>
      <c r="M82" s="363" t="s">
        <v>57</v>
      </c>
      <c r="N82" s="65">
        <v>30</v>
      </c>
      <c r="O82" s="363" t="s">
        <v>59</v>
      </c>
      <c r="P82" s="65">
        <v>30</v>
      </c>
      <c r="Q82" s="363" t="s">
        <v>60</v>
      </c>
      <c r="R82" s="65">
        <v>70</v>
      </c>
      <c r="S82" s="363" t="s">
        <v>61</v>
      </c>
      <c r="T82" s="65">
        <v>30</v>
      </c>
      <c r="U82" s="363" t="s">
        <v>54</v>
      </c>
      <c r="V82" s="66" t="s">
        <v>117</v>
      </c>
      <c r="W82" s="463" t="s">
        <v>392</v>
      </c>
      <c r="X82" s="465">
        <v>1.7</v>
      </c>
      <c r="Y82" s="463" t="s">
        <v>391</v>
      </c>
      <c r="Z82" s="358">
        <v>3</v>
      </c>
    </row>
    <row r="83" spans="1:26" x14ac:dyDescent="0.3">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3">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2.9" thickBot="1" x14ac:dyDescent="0.3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2.9" thickBot="1" x14ac:dyDescent="0.3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2.9" thickBot="1" x14ac:dyDescent="0.35">
      <c r="A87" s="361" t="s">
        <v>328</v>
      </c>
      <c r="B87" s="359">
        <f>ROW(A87)</f>
        <v>87</v>
      </c>
      <c r="C87" s="363" t="s">
        <v>115</v>
      </c>
      <c r="D87" s="353">
        <f>SUM(B90:Y90)</f>
        <v>30.779999999999998</v>
      </c>
      <c r="E87" s="363" t="s">
        <v>114</v>
      </c>
      <c r="F87" s="354">
        <f>D87/g/J87</f>
        <v>80.451658433309774</v>
      </c>
      <c r="G87" s="363" t="s">
        <v>56</v>
      </c>
      <c r="H87" s="64">
        <f>H77*3</f>
        <v>7.2000000000000008E-2</v>
      </c>
      <c r="I87" s="363" t="s">
        <v>269</v>
      </c>
      <c r="J87" s="355">
        <f>H87-L87</f>
        <v>3.9000000000000007E-2</v>
      </c>
      <c r="K87" s="363" t="s">
        <v>270</v>
      </c>
      <c r="L87" s="64">
        <f>L77*3</f>
        <v>3.3000000000000002E-2</v>
      </c>
      <c r="M87" s="363" t="s">
        <v>57</v>
      </c>
      <c r="N87" s="65">
        <v>30</v>
      </c>
      <c r="O87" s="363" t="s">
        <v>59</v>
      </c>
      <c r="P87" s="65">
        <v>30</v>
      </c>
      <c r="Q87" s="363" t="s">
        <v>60</v>
      </c>
      <c r="R87" s="65">
        <v>70</v>
      </c>
      <c r="S87" s="363" t="s">
        <v>61</v>
      </c>
      <c r="T87" s="65">
        <v>40</v>
      </c>
      <c r="U87" s="363" t="s">
        <v>54</v>
      </c>
      <c r="V87" s="66" t="s">
        <v>117</v>
      </c>
      <c r="W87" s="463" t="s">
        <v>392</v>
      </c>
      <c r="X87" s="465">
        <v>1.7</v>
      </c>
      <c r="Y87" s="463" t="s">
        <v>391</v>
      </c>
      <c r="Z87" s="358">
        <v>3</v>
      </c>
    </row>
    <row r="88" spans="1:26" x14ac:dyDescent="0.3">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3">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2.9" thickBot="1" x14ac:dyDescent="0.3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2.9" thickBot="1" x14ac:dyDescent="0.3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2.9" thickBot="1" x14ac:dyDescent="0.35">
      <c r="A92" s="361" t="s">
        <v>539</v>
      </c>
      <c r="B92" s="359">
        <f>ROW(A92)</f>
        <v>92</v>
      </c>
      <c r="C92" s="363" t="s">
        <v>115</v>
      </c>
      <c r="D92" s="353">
        <f>SUM(B95:Y95)</f>
        <v>19.961989000000003</v>
      </c>
      <c r="E92" s="363" t="s">
        <v>114</v>
      </c>
      <c r="F92" s="354">
        <f>D92/g/J92</f>
        <v>118.30588744280873</v>
      </c>
      <c r="G92" s="363" t="s">
        <v>56</v>
      </c>
      <c r="H92" s="64">
        <v>2.8199999999999999E-2</v>
      </c>
      <c r="I92" s="363" t="s">
        <v>269</v>
      </c>
      <c r="J92" s="355">
        <f>H92-L92</f>
        <v>1.72E-2</v>
      </c>
      <c r="K92" s="363" t="s">
        <v>270</v>
      </c>
      <c r="L92" s="64">
        <v>1.0999999999999999E-2</v>
      </c>
      <c r="M92" s="363" t="s">
        <v>57</v>
      </c>
      <c r="N92" s="65">
        <v>30</v>
      </c>
      <c r="O92" s="363" t="s">
        <v>59</v>
      </c>
      <c r="P92" s="65">
        <v>30</v>
      </c>
      <c r="Q92" s="363" t="s">
        <v>60</v>
      </c>
      <c r="R92" s="65">
        <v>70</v>
      </c>
      <c r="S92" s="363" t="s">
        <v>61</v>
      </c>
      <c r="T92" s="65">
        <v>18</v>
      </c>
      <c r="U92" s="363" t="s">
        <v>54</v>
      </c>
      <c r="V92" s="66" t="s">
        <v>399</v>
      </c>
      <c r="W92" s="463" t="s">
        <v>392</v>
      </c>
      <c r="X92" s="465">
        <v>2.1</v>
      </c>
      <c r="Y92" s="463" t="s">
        <v>391</v>
      </c>
      <c r="Z92" s="358">
        <v>7</v>
      </c>
    </row>
    <row r="93" spans="1:26" x14ac:dyDescent="0.3">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3">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2.9" thickBot="1" x14ac:dyDescent="0.3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2.9" thickBot="1" x14ac:dyDescent="0.35">
      <c r="A96" s="12"/>
      <c r="L96" s="12"/>
      <c r="M96" s="12"/>
      <c r="N96" s="12"/>
      <c r="O96" s="12"/>
      <c r="P96" s="12"/>
      <c r="Q96" s="12"/>
      <c r="R96" s="12"/>
      <c r="S96" s="12"/>
      <c r="T96" s="12"/>
      <c r="U96" s="12"/>
      <c r="V96" s="12"/>
      <c r="W96" s="12"/>
      <c r="X96" s="12"/>
      <c r="Y96" s="12"/>
    </row>
    <row r="97" spans="1:26" ht="12.9" thickBot="1" x14ac:dyDescent="0.35">
      <c r="A97" s="361" t="s">
        <v>537</v>
      </c>
      <c r="B97" s="359">
        <f>ROW(A97)</f>
        <v>97</v>
      </c>
      <c r="C97" s="363" t="s">
        <v>115</v>
      </c>
      <c r="D97" s="353">
        <f>SUM(B100:Y100)</f>
        <v>39.923978000000005</v>
      </c>
      <c r="E97" s="363" t="s">
        <v>114</v>
      </c>
      <c r="F97" s="354">
        <f>D97/g/J97</f>
        <v>118.30588744280873</v>
      </c>
      <c r="G97" s="363" t="s">
        <v>56</v>
      </c>
      <c r="H97" s="64">
        <f>H92*2</f>
        <v>5.6399999999999999E-2</v>
      </c>
      <c r="I97" s="363" t="s">
        <v>269</v>
      </c>
      <c r="J97" s="355">
        <f>H97-L97</f>
        <v>3.44E-2</v>
      </c>
      <c r="K97" s="363" t="s">
        <v>270</v>
      </c>
      <c r="L97" s="64">
        <f>L92*2</f>
        <v>2.1999999999999999E-2</v>
      </c>
      <c r="M97" s="363" t="s">
        <v>57</v>
      </c>
      <c r="N97" s="65">
        <v>30</v>
      </c>
      <c r="O97" s="363" t="s">
        <v>59</v>
      </c>
      <c r="P97" s="65">
        <v>30</v>
      </c>
      <c r="Q97" s="363" t="s">
        <v>60</v>
      </c>
      <c r="R97" s="65">
        <v>70</v>
      </c>
      <c r="S97" s="363" t="s">
        <v>61</v>
      </c>
      <c r="T97" s="65">
        <v>30</v>
      </c>
      <c r="U97" s="363" t="s">
        <v>54</v>
      </c>
      <c r="V97" s="66" t="s">
        <v>399</v>
      </c>
      <c r="W97" s="463" t="s">
        <v>392</v>
      </c>
      <c r="X97" s="465">
        <v>2.1</v>
      </c>
      <c r="Y97" s="463" t="s">
        <v>391</v>
      </c>
      <c r="Z97" s="358">
        <v>7</v>
      </c>
    </row>
    <row r="98" spans="1:26" x14ac:dyDescent="0.3">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3">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2.9" thickBot="1" x14ac:dyDescent="0.3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2.9" thickBot="1" x14ac:dyDescent="0.3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2.9" thickBot="1" x14ac:dyDescent="0.35">
      <c r="A102" s="361" t="s">
        <v>538</v>
      </c>
      <c r="B102" s="359">
        <f>ROW(A102)</f>
        <v>102</v>
      </c>
      <c r="C102" s="363" t="s">
        <v>115</v>
      </c>
      <c r="D102" s="353">
        <f>SUM(B105:Y105)</f>
        <v>59.885967000000008</v>
      </c>
      <c r="E102" s="363" t="s">
        <v>114</v>
      </c>
      <c r="F102" s="354">
        <f>D102/g/J102</f>
        <v>118.30588744280874</v>
      </c>
      <c r="G102" s="363" t="s">
        <v>56</v>
      </c>
      <c r="H102" s="64">
        <f>H92*3</f>
        <v>8.4599999999999995E-2</v>
      </c>
      <c r="I102" s="363" t="s">
        <v>269</v>
      </c>
      <c r="J102" s="355">
        <f>H102-L102</f>
        <v>5.1599999999999993E-2</v>
      </c>
      <c r="K102" s="363" t="s">
        <v>270</v>
      </c>
      <c r="L102" s="64">
        <f>L92*3</f>
        <v>3.3000000000000002E-2</v>
      </c>
      <c r="M102" s="363" t="s">
        <v>57</v>
      </c>
      <c r="N102" s="65">
        <v>30</v>
      </c>
      <c r="O102" s="363" t="s">
        <v>59</v>
      </c>
      <c r="P102" s="65">
        <v>30</v>
      </c>
      <c r="Q102" s="363" t="s">
        <v>60</v>
      </c>
      <c r="R102" s="65">
        <v>70</v>
      </c>
      <c r="S102" s="363" t="s">
        <v>61</v>
      </c>
      <c r="T102" s="65">
        <v>40</v>
      </c>
      <c r="U102" s="363" t="s">
        <v>54</v>
      </c>
      <c r="V102" s="66" t="s">
        <v>399</v>
      </c>
      <c r="W102" s="463" t="s">
        <v>392</v>
      </c>
      <c r="X102" s="465">
        <v>2.1</v>
      </c>
      <c r="Y102" s="463" t="s">
        <v>391</v>
      </c>
      <c r="Z102" s="358">
        <v>7</v>
      </c>
    </row>
    <row r="103" spans="1:26" x14ac:dyDescent="0.3">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3">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2.9" thickBot="1" x14ac:dyDescent="0.3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2.9" thickBot="1" x14ac:dyDescent="0.35">
      <c r="A107" s="6" t="s">
        <v>315</v>
      </c>
    </row>
    <row r="108" spans="1:26" ht="12.9" thickBot="1" x14ac:dyDescent="0.35">
      <c r="A108" s="361" t="s">
        <v>317</v>
      </c>
      <c r="B108" s="359">
        <f>ROW(A108)</f>
        <v>108</v>
      </c>
      <c r="C108" s="363" t="s">
        <v>115</v>
      </c>
      <c r="D108" s="353">
        <f>SUM(B111:Y111)</f>
        <v>24.269519000000003</v>
      </c>
      <c r="E108" s="363" t="s">
        <v>114</v>
      </c>
      <c r="F108" s="354">
        <f>D108/g/J108</f>
        <v>154.62231778797147</v>
      </c>
      <c r="G108" s="363" t="s">
        <v>56</v>
      </c>
      <c r="H108" s="64">
        <v>5.1999999999999998E-2</v>
      </c>
      <c r="I108" s="363" t="s">
        <v>269</v>
      </c>
      <c r="J108" s="355">
        <f>H108-L108</f>
        <v>1.6E-2</v>
      </c>
      <c r="K108" s="363" t="s">
        <v>270</v>
      </c>
      <c r="L108" s="64">
        <v>3.5999999999999997E-2</v>
      </c>
      <c r="M108" s="363" t="s">
        <v>57</v>
      </c>
      <c r="N108" s="396">
        <v>35</v>
      </c>
      <c r="O108" s="363" t="s">
        <v>59</v>
      </c>
      <c r="P108" s="396">
        <v>35</v>
      </c>
      <c r="Q108" s="363" t="s">
        <v>60</v>
      </c>
      <c r="R108" s="65">
        <v>69</v>
      </c>
      <c r="S108" s="363" t="s">
        <v>61</v>
      </c>
      <c r="T108" s="65">
        <v>24</v>
      </c>
      <c r="U108" s="363" t="s">
        <v>54</v>
      </c>
      <c r="V108" s="66" t="s">
        <v>397</v>
      </c>
      <c r="W108" s="463" t="s">
        <v>392</v>
      </c>
      <c r="X108" s="465">
        <v>1</v>
      </c>
      <c r="Y108" s="463" t="s">
        <v>391</v>
      </c>
      <c r="Z108" s="358">
        <v>13</v>
      </c>
    </row>
    <row r="109" spans="1:26" x14ac:dyDescent="0.3">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3">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2.9" thickBot="1" x14ac:dyDescent="0.3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2.9" thickBot="1" x14ac:dyDescent="0.35"/>
    <row r="113" spans="1:26" ht="12.9" thickBot="1" x14ac:dyDescent="0.35">
      <c r="A113" s="361" t="s">
        <v>415</v>
      </c>
      <c r="B113" s="359">
        <f>ROW(A113)</f>
        <v>113</v>
      </c>
      <c r="C113" s="363" t="s">
        <v>115</v>
      </c>
      <c r="D113" s="353">
        <f>SUM(B116:Y116)</f>
        <v>24.488898000000002</v>
      </c>
      <c r="E113" s="363" t="s">
        <v>114</v>
      </c>
      <c r="F113" s="354">
        <f>D113/g/J113</f>
        <v>121.771701350041</v>
      </c>
      <c r="G113" s="363" t="s">
        <v>56</v>
      </c>
      <c r="H113" s="64">
        <v>5.6500000000000002E-2</v>
      </c>
      <c r="I113" s="363" t="s">
        <v>269</v>
      </c>
      <c r="J113" s="355">
        <f>H113-L113</f>
        <v>2.0500000000000004E-2</v>
      </c>
      <c r="K113" s="363" t="s">
        <v>270</v>
      </c>
      <c r="L113" s="64">
        <v>3.5999999999999997E-2</v>
      </c>
      <c r="M113" s="363" t="s">
        <v>57</v>
      </c>
      <c r="N113" s="396">
        <v>35</v>
      </c>
      <c r="O113" s="363" t="s">
        <v>59</v>
      </c>
      <c r="P113" s="396">
        <v>35</v>
      </c>
      <c r="Q113" s="363" t="s">
        <v>60</v>
      </c>
      <c r="R113" s="65">
        <v>69</v>
      </c>
      <c r="S113" s="363" t="s">
        <v>61</v>
      </c>
      <c r="T113" s="65">
        <v>24</v>
      </c>
      <c r="U113" s="363" t="s">
        <v>54</v>
      </c>
      <c r="V113" s="66" t="s">
        <v>398</v>
      </c>
      <c r="W113" s="463" t="s">
        <v>392</v>
      </c>
      <c r="X113" s="465">
        <v>0.33</v>
      </c>
      <c r="Y113" s="463" t="s">
        <v>391</v>
      </c>
      <c r="Z113" s="358">
        <v>17</v>
      </c>
    </row>
    <row r="114" spans="1:26" x14ac:dyDescent="0.3">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3">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2.9" thickBot="1" x14ac:dyDescent="0.3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2.9" thickBot="1" x14ac:dyDescent="0.35"/>
    <row r="118" spans="1:26" ht="12.9" thickBot="1" x14ac:dyDescent="0.35">
      <c r="A118" s="361" t="s">
        <v>318</v>
      </c>
      <c r="B118" s="359">
        <f>ROW(A118)</f>
        <v>118</v>
      </c>
      <c r="C118" s="363" t="s">
        <v>115</v>
      </c>
      <c r="D118" s="353">
        <f>SUM(B121:Y121)</f>
        <v>26.083982500000001</v>
      </c>
      <c r="E118" s="363" t="s">
        <v>114</v>
      </c>
      <c r="F118" s="354">
        <f>D118/g/J118</f>
        <v>166.18235537716615</v>
      </c>
      <c r="G118" s="363" t="s">
        <v>56</v>
      </c>
      <c r="H118" s="64">
        <v>5.1999999999999998E-2</v>
      </c>
      <c r="I118" s="363" t="s">
        <v>269</v>
      </c>
      <c r="J118" s="355">
        <f>H118-L118</f>
        <v>1.6E-2</v>
      </c>
      <c r="K118" s="363" t="s">
        <v>270</v>
      </c>
      <c r="L118" s="64">
        <v>3.5999999999999997E-2</v>
      </c>
      <c r="M118" s="363" t="s">
        <v>57</v>
      </c>
      <c r="N118" s="396">
        <v>35</v>
      </c>
      <c r="O118" s="363" t="s">
        <v>59</v>
      </c>
      <c r="P118" s="396">
        <v>35</v>
      </c>
      <c r="Q118" s="363" t="s">
        <v>60</v>
      </c>
      <c r="R118" s="65">
        <v>69</v>
      </c>
      <c r="S118" s="363" t="s">
        <v>61</v>
      </c>
      <c r="T118" s="65">
        <v>24</v>
      </c>
      <c r="U118" s="363" t="s">
        <v>54</v>
      </c>
      <c r="V118" s="66" t="s">
        <v>397</v>
      </c>
      <c r="W118" s="463" t="s">
        <v>392</v>
      </c>
      <c r="X118" s="465">
        <v>0.85</v>
      </c>
      <c r="Y118" s="463" t="s">
        <v>391</v>
      </c>
      <c r="Z118" s="358">
        <v>15</v>
      </c>
    </row>
    <row r="119" spans="1:26" x14ac:dyDescent="0.3">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3">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2.9" thickBot="1" x14ac:dyDescent="0.3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2.9" thickBot="1" x14ac:dyDescent="0.35">
      <c r="A122" s="6" t="s">
        <v>387</v>
      </c>
    </row>
    <row r="123" spans="1:26" ht="12.9" thickBot="1" x14ac:dyDescent="0.35">
      <c r="A123" s="361" t="s">
        <v>388</v>
      </c>
      <c r="B123" s="359">
        <f>ROW(A123)</f>
        <v>123</v>
      </c>
      <c r="C123" s="363" t="s">
        <v>115</v>
      </c>
      <c r="D123" s="353">
        <f>SUM(B126:Y126)</f>
        <v>49.788765499999997</v>
      </c>
      <c r="E123" s="363" t="s">
        <v>114</v>
      </c>
      <c r="F123" s="354">
        <v>231</v>
      </c>
      <c r="G123" s="363" t="s">
        <v>56</v>
      </c>
      <c r="H123" s="64">
        <v>7.2999999999999995E-2</v>
      </c>
      <c r="I123" s="363" t="s">
        <v>269</v>
      </c>
      <c r="J123" s="355">
        <f>H123-L123</f>
        <v>2.7999999999999997E-2</v>
      </c>
      <c r="K123" s="363" t="s">
        <v>270</v>
      </c>
      <c r="L123" s="64">
        <v>4.4999999999999998E-2</v>
      </c>
      <c r="M123" s="363" t="s">
        <v>57</v>
      </c>
      <c r="N123" s="396">
        <v>50</v>
      </c>
      <c r="O123" s="363" t="s">
        <v>59</v>
      </c>
      <c r="P123" s="396">
        <v>50</v>
      </c>
      <c r="Q123" s="363" t="s">
        <v>60</v>
      </c>
      <c r="R123" s="65">
        <v>101</v>
      </c>
      <c r="S123" s="363" t="s">
        <v>61</v>
      </c>
      <c r="T123" s="65">
        <v>24</v>
      </c>
      <c r="U123" s="363" t="s">
        <v>54</v>
      </c>
      <c r="V123" s="66" t="s">
        <v>119</v>
      </c>
      <c r="W123" s="463" t="s">
        <v>392</v>
      </c>
      <c r="X123" s="465">
        <v>1</v>
      </c>
      <c r="Y123" s="463" t="s">
        <v>391</v>
      </c>
      <c r="Z123" s="358">
        <v>13</v>
      </c>
    </row>
    <row r="124" spans="1:26" x14ac:dyDescent="0.3">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3">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2.9" thickBot="1" x14ac:dyDescent="0.3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2.9" thickBot="1" x14ac:dyDescent="0.35"/>
    <row r="128" spans="1:26" ht="12.9" thickBot="1" x14ac:dyDescent="0.35">
      <c r="A128" s="361" t="s">
        <v>389</v>
      </c>
      <c r="B128" s="359">
        <f>ROW(A128)</f>
        <v>128</v>
      </c>
      <c r="C128" s="363" t="s">
        <v>115</v>
      </c>
      <c r="D128" s="353">
        <f>SUM(B131:Y131)</f>
        <v>52.815674000000008</v>
      </c>
      <c r="E128" s="363" t="s">
        <v>114</v>
      </c>
      <c r="F128" s="354">
        <v>239</v>
      </c>
      <c r="G128" s="363" t="s">
        <v>56</v>
      </c>
      <c r="H128" s="64">
        <v>7.2999999999999995E-2</v>
      </c>
      <c r="I128" s="363" t="s">
        <v>269</v>
      </c>
      <c r="J128" s="355">
        <f>H128-L128</f>
        <v>2.8999999999999998E-2</v>
      </c>
      <c r="K128" s="363" t="s">
        <v>270</v>
      </c>
      <c r="L128" s="64">
        <v>4.3999999999999997E-2</v>
      </c>
      <c r="M128" s="363" t="s">
        <v>57</v>
      </c>
      <c r="N128" s="396">
        <v>50</v>
      </c>
      <c r="O128" s="363" t="s">
        <v>59</v>
      </c>
      <c r="P128" s="396">
        <v>50</v>
      </c>
      <c r="Q128" s="363" t="s">
        <v>60</v>
      </c>
      <c r="R128" s="65">
        <v>101</v>
      </c>
      <c r="S128" s="363" t="s">
        <v>61</v>
      </c>
      <c r="T128" s="65">
        <v>24</v>
      </c>
      <c r="U128" s="363" t="s">
        <v>54</v>
      </c>
      <c r="V128" s="66" t="s">
        <v>119</v>
      </c>
      <c r="W128" s="463" t="s">
        <v>392</v>
      </c>
      <c r="X128" s="465">
        <v>0.77</v>
      </c>
      <c r="Y128" s="463" t="s">
        <v>391</v>
      </c>
      <c r="Z128" s="358">
        <v>14</v>
      </c>
    </row>
    <row r="129" spans="1:26" x14ac:dyDescent="0.3">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3">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2.9" thickBot="1" x14ac:dyDescent="0.3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2.9" thickBot="1" x14ac:dyDescent="0.35">
      <c r="A132" s="6" t="s">
        <v>312</v>
      </c>
    </row>
    <row r="133" spans="1:26" ht="12.9" thickBot="1" x14ac:dyDescent="0.35">
      <c r="A133" s="361" t="s">
        <v>379</v>
      </c>
      <c r="B133" s="359">
        <f>ROW(A133)</f>
        <v>133</v>
      </c>
      <c r="C133" s="363" t="s">
        <v>115</v>
      </c>
      <c r="D133" s="353">
        <f>SUM(B136:Y136)</f>
        <v>41.835000000000015</v>
      </c>
      <c r="E133" s="363" t="s">
        <v>114</v>
      </c>
      <c r="F133" s="354">
        <f>D133/g/J133</f>
        <v>121.84359982525126</v>
      </c>
      <c r="G133" s="363" t="s">
        <v>56</v>
      </c>
      <c r="H133" s="64">
        <v>0.104</v>
      </c>
      <c r="I133" s="363" t="s">
        <v>269</v>
      </c>
      <c r="J133" s="355">
        <f>H133-L133</f>
        <v>3.4999999999999989E-2</v>
      </c>
      <c r="K133" s="363" t="s">
        <v>270</v>
      </c>
      <c r="L133" s="64">
        <v>6.9000000000000006E-2</v>
      </c>
      <c r="M133" s="363" t="s">
        <v>57</v>
      </c>
      <c r="N133" s="65">
        <v>49</v>
      </c>
      <c r="O133" s="363" t="s">
        <v>59</v>
      </c>
      <c r="P133" s="65">
        <v>49</v>
      </c>
      <c r="Q133" s="363" t="s">
        <v>60</v>
      </c>
      <c r="R133" s="65">
        <v>98</v>
      </c>
      <c r="S133" s="363" t="s">
        <v>61</v>
      </c>
      <c r="T133" s="65">
        <v>29</v>
      </c>
      <c r="U133" s="363" t="s">
        <v>54</v>
      </c>
      <c r="V133" s="66" t="s">
        <v>397</v>
      </c>
      <c r="W133" s="463" t="s">
        <v>392</v>
      </c>
      <c r="X133" s="465">
        <v>1.07</v>
      </c>
      <c r="Y133" s="463" t="s">
        <v>391</v>
      </c>
      <c r="Z133" s="358">
        <v>11</v>
      </c>
    </row>
    <row r="134" spans="1:26" x14ac:dyDescent="0.3">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3">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2.9" thickBot="1" x14ac:dyDescent="0.3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2.9" thickBot="1" x14ac:dyDescent="0.3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2.9" thickBot="1" x14ac:dyDescent="0.35">
      <c r="A138" s="361" t="s">
        <v>380</v>
      </c>
      <c r="B138" s="359">
        <f>ROW(A138)</f>
        <v>138</v>
      </c>
      <c r="C138" s="363" t="s">
        <v>115</v>
      </c>
      <c r="D138" s="353">
        <f>SUM(B141:Y141)</f>
        <v>52.564999999999998</v>
      </c>
      <c r="E138" s="363" t="s">
        <v>114</v>
      </c>
      <c r="F138" s="354">
        <f>D138/g/J138</f>
        <v>167.44712028542301</v>
      </c>
      <c r="G138" s="363" t="s">
        <v>56</v>
      </c>
      <c r="H138" s="64">
        <v>0.10100000000000001</v>
      </c>
      <c r="I138" s="363" t="s">
        <v>269</v>
      </c>
      <c r="J138" s="355">
        <f>H138-L138</f>
        <v>3.2000000000000001E-2</v>
      </c>
      <c r="K138" s="363" t="s">
        <v>270</v>
      </c>
      <c r="L138" s="64">
        <v>6.9000000000000006E-2</v>
      </c>
      <c r="M138" s="363" t="s">
        <v>57</v>
      </c>
      <c r="N138" s="65">
        <v>49</v>
      </c>
      <c r="O138" s="363" t="s">
        <v>59</v>
      </c>
      <c r="P138" s="65">
        <v>49</v>
      </c>
      <c r="Q138" s="363" t="s">
        <v>60</v>
      </c>
      <c r="R138" s="65">
        <v>98</v>
      </c>
      <c r="S138" s="363" t="s">
        <v>61</v>
      </c>
      <c r="T138" s="65">
        <v>29</v>
      </c>
      <c r="U138" s="363" t="s">
        <v>54</v>
      </c>
      <c r="V138" s="66" t="s">
        <v>398</v>
      </c>
      <c r="W138" s="463" t="s">
        <v>392</v>
      </c>
      <c r="X138" s="465">
        <v>1.8</v>
      </c>
      <c r="Y138" s="463" t="s">
        <v>391</v>
      </c>
      <c r="Z138" s="358">
        <v>12</v>
      </c>
    </row>
    <row r="139" spans="1:26" x14ac:dyDescent="0.3">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3">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2.9" thickBot="1" x14ac:dyDescent="0.3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2.9" thickBot="1" x14ac:dyDescent="0.3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2.9" thickBot="1" x14ac:dyDescent="0.35">
      <c r="A143" s="361" t="s">
        <v>381</v>
      </c>
      <c r="B143" s="359">
        <f>ROW(A143)</f>
        <v>143</v>
      </c>
      <c r="C143" s="363" t="s">
        <v>115</v>
      </c>
      <c r="D143" s="353">
        <f>SUM(B146:Y146)</f>
        <v>54.110016122119539</v>
      </c>
      <c r="E143" s="363" t="s">
        <v>114</v>
      </c>
      <c r="F143" s="354">
        <f>D143/g/J143</f>
        <v>146.69685764124625</v>
      </c>
      <c r="G143" s="363" t="s">
        <v>56</v>
      </c>
      <c r="H143" s="64">
        <v>0.10580000000000001</v>
      </c>
      <c r="I143" s="363" t="s">
        <v>269</v>
      </c>
      <c r="J143" s="355">
        <f>H143-L143</f>
        <v>3.7600000000000008E-2</v>
      </c>
      <c r="K143" s="363" t="s">
        <v>270</v>
      </c>
      <c r="L143" s="64">
        <v>6.8199999999999997E-2</v>
      </c>
      <c r="M143" s="363" t="s">
        <v>57</v>
      </c>
      <c r="N143" s="65">
        <v>49</v>
      </c>
      <c r="O143" s="363" t="s">
        <v>59</v>
      </c>
      <c r="P143" s="65">
        <v>49</v>
      </c>
      <c r="Q143" s="363" t="s">
        <v>60</v>
      </c>
      <c r="R143" s="65">
        <v>98</v>
      </c>
      <c r="S143" s="363" t="s">
        <v>61</v>
      </c>
      <c r="T143" s="65">
        <v>29</v>
      </c>
      <c r="U143" s="363" t="s">
        <v>54</v>
      </c>
      <c r="V143" s="66" t="s">
        <v>397</v>
      </c>
      <c r="W143" s="463" t="s">
        <v>392</v>
      </c>
      <c r="X143" s="465">
        <v>1.9</v>
      </c>
      <c r="Y143" s="463" t="s">
        <v>391</v>
      </c>
      <c r="Z143" s="358">
        <v>12</v>
      </c>
    </row>
    <row r="144" spans="1:26" x14ac:dyDescent="0.3">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3">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2.9" thickBot="1" x14ac:dyDescent="0.3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2.9" thickBot="1" x14ac:dyDescent="0.3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2.9" thickBot="1" x14ac:dyDescent="0.35">
      <c r="A148" s="361" t="s">
        <v>542</v>
      </c>
      <c r="B148" s="359">
        <f>ROW(A148)</f>
        <v>148</v>
      </c>
      <c r="C148" s="363" t="s">
        <v>115</v>
      </c>
      <c r="D148" s="353">
        <f>SUM(B151:Y151)</f>
        <v>55.589492</v>
      </c>
      <c r="E148" s="363" t="s">
        <v>114</v>
      </c>
      <c r="F148" s="354">
        <f>D148/g/J148</f>
        <v>177.08171508664634</v>
      </c>
      <c r="G148" s="363" t="s">
        <v>56</v>
      </c>
      <c r="H148" s="64">
        <v>0.10199999999999999</v>
      </c>
      <c r="I148" s="363" t="s">
        <v>269</v>
      </c>
      <c r="J148" s="355">
        <f>H148-L148</f>
        <v>3.1999999999999987E-2</v>
      </c>
      <c r="K148" s="363" t="s">
        <v>270</v>
      </c>
      <c r="L148" s="64">
        <v>7.0000000000000007E-2</v>
      </c>
      <c r="M148" s="363" t="s">
        <v>57</v>
      </c>
      <c r="N148" s="65">
        <v>49</v>
      </c>
      <c r="O148" s="363" t="s">
        <v>59</v>
      </c>
      <c r="P148" s="65">
        <v>49</v>
      </c>
      <c r="Q148" s="363" t="s">
        <v>60</v>
      </c>
      <c r="R148" s="65">
        <v>98</v>
      </c>
      <c r="S148" s="363" t="s">
        <v>61</v>
      </c>
      <c r="T148" s="65">
        <v>29</v>
      </c>
      <c r="U148" s="363" t="s">
        <v>54</v>
      </c>
      <c r="V148" s="66" t="s">
        <v>398</v>
      </c>
      <c r="W148" s="463" t="s">
        <v>392</v>
      </c>
      <c r="X148" s="465">
        <v>0.45</v>
      </c>
      <c r="Y148" s="463" t="s">
        <v>391</v>
      </c>
      <c r="Z148" s="358">
        <v>12</v>
      </c>
    </row>
    <row r="149" spans="1:26" x14ac:dyDescent="0.3">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3">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2.9" thickBot="1" x14ac:dyDescent="0.3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2.9" thickBot="1" x14ac:dyDescent="0.3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2.9" thickBot="1" x14ac:dyDescent="0.35">
      <c r="A153" s="361" t="s">
        <v>382</v>
      </c>
      <c r="B153" s="359">
        <f>ROW(A153)</f>
        <v>153</v>
      </c>
      <c r="C153" s="363" t="s">
        <v>115</v>
      </c>
      <c r="D153" s="353">
        <f>SUM(B156:Y156)</f>
        <v>55.705884500000003</v>
      </c>
      <c r="E153" s="363" t="s">
        <v>114</v>
      </c>
      <c r="F153" s="354">
        <f>D153/g/J153</f>
        <v>180.84329814241278</v>
      </c>
      <c r="G153" s="363" t="s">
        <v>56</v>
      </c>
      <c r="H153" s="64">
        <v>0.1062</v>
      </c>
      <c r="I153" s="363" t="s">
        <v>269</v>
      </c>
      <c r="J153" s="355">
        <f>H153-L153</f>
        <v>3.1400000000000011E-2</v>
      </c>
      <c r="K153" s="363" t="s">
        <v>270</v>
      </c>
      <c r="L153" s="64">
        <v>7.4799999999999991E-2</v>
      </c>
      <c r="M153" s="363" t="s">
        <v>57</v>
      </c>
      <c r="N153" s="65">
        <v>49</v>
      </c>
      <c r="O153" s="363" t="s">
        <v>59</v>
      </c>
      <c r="P153" s="65">
        <v>49</v>
      </c>
      <c r="Q153" s="363" t="s">
        <v>60</v>
      </c>
      <c r="R153" s="65">
        <v>98</v>
      </c>
      <c r="S153" s="363" t="s">
        <v>61</v>
      </c>
      <c r="T153" s="65">
        <v>29</v>
      </c>
      <c r="U153" s="363" t="s">
        <v>54</v>
      </c>
      <c r="V153" s="66" t="s">
        <v>398</v>
      </c>
      <c r="W153" s="463" t="s">
        <v>392</v>
      </c>
      <c r="X153" s="465">
        <v>0.45</v>
      </c>
      <c r="Y153" s="463" t="s">
        <v>391</v>
      </c>
      <c r="Z153" s="358">
        <v>14</v>
      </c>
    </row>
    <row r="154" spans="1:26" x14ac:dyDescent="0.3">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3">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2.9" thickBot="1" x14ac:dyDescent="0.3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2.9" thickBot="1" x14ac:dyDescent="0.3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2.9" thickBot="1" x14ac:dyDescent="0.35">
      <c r="A158" s="361" t="s">
        <v>383</v>
      </c>
      <c r="B158" s="359">
        <f>ROW(A158)</f>
        <v>158</v>
      </c>
      <c r="C158" s="363" t="s">
        <v>115</v>
      </c>
      <c r="D158" s="353">
        <f>SUM(B161:Y161)</f>
        <v>57.190000000000005</v>
      </c>
      <c r="E158" s="363" t="s">
        <v>114</v>
      </c>
      <c r="F158" s="354">
        <f>D158/g/J158</f>
        <v>188.05695307618953</v>
      </c>
      <c r="G158" s="363" t="s">
        <v>56</v>
      </c>
      <c r="H158" s="64">
        <v>9.9000000000000005E-2</v>
      </c>
      <c r="I158" s="363" t="s">
        <v>269</v>
      </c>
      <c r="J158" s="355">
        <f>H158-L158</f>
        <v>3.1E-2</v>
      </c>
      <c r="K158" s="363" t="s">
        <v>270</v>
      </c>
      <c r="L158" s="64">
        <v>6.8000000000000005E-2</v>
      </c>
      <c r="M158" s="363" t="s">
        <v>57</v>
      </c>
      <c r="N158" s="65">
        <v>49</v>
      </c>
      <c r="O158" s="363" t="s">
        <v>59</v>
      </c>
      <c r="P158" s="65">
        <v>49</v>
      </c>
      <c r="Q158" s="363" t="s">
        <v>60</v>
      </c>
      <c r="R158" s="65">
        <v>98</v>
      </c>
      <c r="S158" s="363" t="s">
        <v>61</v>
      </c>
      <c r="T158" s="65">
        <v>29</v>
      </c>
      <c r="U158" s="363" t="s">
        <v>54</v>
      </c>
      <c r="V158" s="66" t="s">
        <v>398</v>
      </c>
      <c r="W158" s="463" t="s">
        <v>392</v>
      </c>
      <c r="X158" s="465">
        <v>0.96</v>
      </c>
      <c r="Y158" s="463" t="s">
        <v>391</v>
      </c>
      <c r="Z158" s="358">
        <v>12</v>
      </c>
    </row>
    <row r="159" spans="1:26" x14ac:dyDescent="0.3">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3">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2.9" thickBot="1" x14ac:dyDescent="0.3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2.9" thickBot="1" x14ac:dyDescent="0.35">
      <c r="A162" s="6" t="s">
        <v>313</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2.9" thickBot="1" x14ac:dyDescent="0.35">
      <c r="A163" s="361" t="s">
        <v>319</v>
      </c>
      <c r="B163" s="359">
        <f>ROW(A163)</f>
        <v>163</v>
      </c>
      <c r="C163" s="363" t="s">
        <v>115</v>
      </c>
      <c r="D163" s="353">
        <f>SUM(B166:Y166)</f>
        <v>59.702267000000006</v>
      </c>
      <c r="E163" s="363" t="s">
        <v>114</v>
      </c>
      <c r="F163" s="354">
        <f>D163/g/J163</f>
        <v>190.77924771281306</v>
      </c>
      <c r="G163" s="363" t="s">
        <v>56</v>
      </c>
      <c r="H163" s="64">
        <v>9.3899999999999997E-2</v>
      </c>
      <c r="I163" s="363" t="s">
        <v>269</v>
      </c>
      <c r="J163" s="355">
        <f>H163-L163</f>
        <v>3.1899999999999998E-2</v>
      </c>
      <c r="K163" s="363" t="s">
        <v>270</v>
      </c>
      <c r="L163" s="64">
        <f>0.095-0.033</f>
        <v>6.2E-2</v>
      </c>
      <c r="M163" s="363" t="s">
        <v>57</v>
      </c>
      <c r="N163" s="396">
        <v>66.5</v>
      </c>
      <c r="O163" s="363" t="s">
        <v>59</v>
      </c>
      <c r="P163" s="396">
        <v>66.5</v>
      </c>
      <c r="Q163" s="363" t="s">
        <v>60</v>
      </c>
      <c r="R163" s="65">
        <v>133</v>
      </c>
      <c r="S163" s="363" t="s">
        <v>61</v>
      </c>
      <c r="T163" s="65">
        <v>24</v>
      </c>
      <c r="U163" s="363" t="s">
        <v>54</v>
      </c>
      <c r="V163" s="66" t="s">
        <v>397</v>
      </c>
      <c r="W163" s="463" t="s">
        <v>392</v>
      </c>
      <c r="X163" s="465">
        <v>1.2</v>
      </c>
      <c r="Y163" s="463" t="s">
        <v>391</v>
      </c>
      <c r="Z163" s="358">
        <v>13</v>
      </c>
    </row>
    <row r="164" spans="1:26" x14ac:dyDescent="0.3">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3">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2.9" thickBot="1" x14ac:dyDescent="0.3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2.9" thickBot="1" x14ac:dyDescent="0.35"/>
    <row r="168" spans="1:26" ht="12.9" thickBot="1" x14ac:dyDescent="0.35">
      <c r="A168" s="361" t="s">
        <v>320</v>
      </c>
      <c r="B168" s="359">
        <f>ROW(A168)</f>
        <v>168</v>
      </c>
      <c r="C168" s="363" t="s">
        <v>115</v>
      </c>
      <c r="D168" s="353">
        <f>SUM(B171:Y171)</f>
        <v>68.380602999999994</v>
      </c>
      <c r="E168" s="363" t="s">
        <v>114</v>
      </c>
      <c r="F168" s="354">
        <f>D168/g/J168</f>
        <v>134.04807300243078</v>
      </c>
      <c r="G168" s="363" t="s">
        <v>56</v>
      </c>
      <c r="H168" s="64">
        <v>0.1075</v>
      </c>
      <c r="I168" s="363" t="s">
        <v>269</v>
      </c>
      <c r="J168" s="355">
        <f>H168-L168</f>
        <v>5.1999999999999998E-2</v>
      </c>
      <c r="K168" s="363" t="s">
        <v>270</v>
      </c>
      <c r="L168" s="64">
        <v>5.5500000000000001E-2</v>
      </c>
      <c r="M168" s="363" t="s">
        <v>57</v>
      </c>
      <c r="N168" s="396">
        <v>66.5</v>
      </c>
      <c r="O168" s="363" t="s">
        <v>59</v>
      </c>
      <c r="P168" s="396">
        <v>66.5</v>
      </c>
      <c r="Q168" s="363" t="s">
        <v>60</v>
      </c>
      <c r="R168" s="65">
        <v>133</v>
      </c>
      <c r="S168" s="363" t="s">
        <v>61</v>
      </c>
      <c r="T168" s="65">
        <v>24</v>
      </c>
      <c r="U168" s="363" t="s">
        <v>54</v>
      </c>
      <c r="V168" s="66" t="s">
        <v>397</v>
      </c>
      <c r="W168" s="463" t="s">
        <v>392</v>
      </c>
      <c r="X168" s="465">
        <v>0.86</v>
      </c>
      <c r="Y168" s="463" t="s">
        <v>391</v>
      </c>
      <c r="Z168" s="358">
        <v>13</v>
      </c>
    </row>
    <row r="169" spans="1:26" x14ac:dyDescent="0.3">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3">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2.9" thickBot="1" x14ac:dyDescent="0.3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2.9" thickBot="1" x14ac:dyDescent="0.3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2.9" thickBot="1" x14ac:dyDescent="0.35">
      <c r="A173" s="361" t="s">
        <v>321</v>
      </c>
      <c r="B173" s="359">
        <f>ROW(A173)</f>
        <v>173</v>
      </c>
      <c r="C173" s="363" t="s">
        <v>115</v>
      </c>
      <c r="D173" s="353">
        <f>SUM(B176:Y176)</f>
        <v>67.985428500000012</v>
      </c>
      <c r="E173" s="363" t="s">
        <v>114</v>
      </c>
      <c r="F173" s="354">
        <f>D173/g/J173</f>
        <v>181.89545859519862</v>
      </c>
      <c r="G173" s="363" t="s">
        <v>56</v>
      </c>
      <c r="H173" s="64">
        <v>9.1799999999999993E-2</v>
      </c>
      <c r="I173" s="363" t="s">
        <v>269</v>
      </c>
      <c r="J173" s="355">
        <f>H173-L173</f>
        <v>3.8099999999999988E-2</v>
      </c>
      <c r="K173" s="363" t="s">
        <v>270</v>
      </c>
      <c r="L173" s="64">
        <v>5.3700000000000005E-2</v>
      </c>
      <c r="M173" s="363" t="s">
        <v>57</v>
      </c>
      <c r="N173" s="396">
        <v>66.5</v>
      </c>
      <c r="O173" s="363" t="s">
        <v>59</v>
      </c>
      <c r="P173" s="396">
        <v>66.5</v>
      </c>
      <c r="Q173" s="363" t="s">
        <v>60</v>
      </c>
      <c r="R173" s="65">
        <v>133</v>
      </c>
      <c r="S173" s="363" t="s">
        <v>61</v>
      </c>
      <c r="T173" s="65">
        <v>24</v>
      </c>
      <c r="U173" s="363" t="s">
        <v>54</v>
      </c>
      <c r="V173" s="66" t="s">
        <v>397</v>
      </c>
      <c r="W173" s="463" t="s">
        <v>392</v>
      </c>
      <c r="X173" s="465">
        <v>0.33</v>
      </c>
      <c r="Y173" s="463" t="s">
        <v>391</v>
      </c>
      <c r="Z173" s="358">
        <v>15</v>
      </c>
    </row>
    <row r="174" spans="1:26" x14ac:dyDescent="0.3">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3">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2.9" thickBot="1" x14ac:dyDescent="0.3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2.9" thickBot="1" x14ac:dyDescent="0.3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2.9" thickBot="1" x14ac:dyDescent="0.35">
      <c r="A178" s="361" t="s">
        <v>322</v>
      </c>
      <c r="B178" s="359">
        <f>ROW(A178)</f>
        <v>178</v>
      </c>
      <c r="C178" s="363" t="s">
        <v>115</v>
      </c>
      <c r="D178" s="353">
        <f>SUM(B181:Y181)</f>
        <v>73.557381500000005</v>
      </c>
      <c r="E178" s="363" t="s">
        <v>114</v>
      </c>
      <c r="F178" s="354">
        <f>D178/g/J178</f>
        <v>156.86619302308719</v>
      </c>
      <c r="G178" s="363" t="s">
        <v>56</v>
      </c>
      <c r="H178" s="64">
        <v>0.1022</v>
      </c>
      <c r="I178" s="363" t="s">
        <v>269</v>
      </c>
      <c r="J178" s="355">
        <f>H178-L178</f>
        <v>4.7800000000000002E-2</v>
      </c>
      <c r="K178" s="363" t="s">
        <v>270</v>
      </c>
      <c r="L178" s="64">
        <v>5.4399999999999997E-2</v>
      </c>
      <c r="M178" s="363" t="s">
        <v>57</v>
      </c>
      <c r="N178" s="396">
        <v>66.5</v>
      </c>
      <c r="O178" s="363" t="s">
        <v>59</v>
      </c>
      <c r="P178" s="396">
        <v>66.5</v>
      </c>
      <c r="Q178" s="363" t="s">
        <v>60</v>
      </c>
      <c r="R178" s="65">
        <v>133</v>
      </c>
      <c r="S178" s="363" t="s">
        <v>61</v>
      </c>
      <c r="T178" s="65">
        <v>24</v>
      </c>
      <c r="U178" s="363" t="s">
        <v>54</v>
      </c>
      <c r="V178" s="66" t="s">
        <v>397</v>
      </c>
      <c r="W178" s="463" t="s">
        <v>392</v>
      </c>
      <c r="X178" s="465">
        <v>2.36</v>
      </c>
      <c r="Y178" s="463" t="s">
        <v>391</v>
      </c>
      <c r="Z178" s="358">
        <v>6</v>
      </c>
    </row>
    <row r="179" spans="1:26" x14ac:dyDescent="0.3">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3">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2.9" thickBot="1" x14ac:dyDescent="0.3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2.9" thickBot="1" x14ac:dyDescent="0.3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2.9" thickBot="1" x14ac:dyDescent="0.35">
      <c r="A183" s="361" t="s">
        <v>323</v>
      </c>
      <c r="B183" s="359">
        <f>ROW(A183)</f>
        <v>183</v>
      </c>
      <c r="C183" s="363" t="s">
        <v>115</v>
      </c>
      <c r="D183" s="353">
        <f>SUM(B186:Y186)</f>
        <v>73.169517999999997</v>
      </c>
      <c r="E183" s="363" t="s">
        <v>114</v>
      </c>
      <c r="F183" s="354">
        <f>D183/g/J183</f>
        <v>177.58729673316827</v>
      </c>
      <c r="G183" s="363" t="s">
        <v>56</v>
      </c>
      <c r="H183" s="64">
        <v>9.6000000000000002E-2</v>
      </c>
      <c r="I183" s="363" t="s">
        <v>269</v>
      </c>
      <c r="J183" s="355">
        <f>H183-L183</f>
        <v>4.2000000000000003E-2</v>
      </c>
      <c r="K183" s="363" t="s">
        <v>270</v>
      </c>
      <c r="L183" s="64">
        <v>5.3999999999999999E-2</v>
      </c>
      <c r="M183" s="363" t="s">
        <v>57</v>
      </c>
      <c r="N183" s="396">
        <v>66.5</v>
      </c>
      <c r="O183" s="363" t="s">
        <v>59</v>
      </c>
      <c r="P183" s="396">
        <v>66.5</v>
      </c>
      <c r="Q183" s="363" t="s">
        <v>60</v>
      </c>
      <c r="R183" s="65">
        <v>133</v>
      </c>
      <c r="S183" s="363" t="s">
        <v>61</v>
      </c>
      <c r="T183" s="65">
        <v>24</v>
      </c>
      <c r="U183" s="363" t="s">
        <v>54</v>
      </c>
      <c r="V183" s="66" t="s">
        <v>398</v>
      </c>
      <c r="W183" s="463" t="s">
        <v>392</v>
      </c>
      <c r="X183" s="465">
        <v>0.87</v>
      </c>
      <c r="Y183" s="463" t="s">
        <v>391</v>
      </c>
      <c r="Z183" s="358">
        <v>15</v>
      </c>
    </row>
    <row r="184" spans="1:26" x14ac:dyDescent="0.3">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3">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2.9" thickBot="1" x14ac:dyDescent="0.3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2.9" thickBot="1" x14ac:dyDescent="0.3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2.9" thickBot="1" x14ac:dyDescent="0.35">
      <c r="A188" s="361" t="s">
        <v>324</v>
      </c>
      <c r="B188" s="359">
        <f>ROW(A188)</f>
        <v>188</v>
      </c>
      <c r="C188" s="363" t="s">
        <v>115</v>
      </c>
      <c r="D188" s="353">
        <f>SUM(B191:Y191)</f>
        <v>75.254384000000016</v>
      </c>
      <c r="E188" s="363" t="s">
        <v>114</v>
      </c>
      <c r="F188" s="354">
        <f>D188/g/J188</f>
        <v>232.46033422914161</v>
      </c>
      <c r="G188" s="363" t="s">
        <v>56</v>
      </c>
      <c r="H188" s="64">
        <v>9.5000000000000001E-2</v>
      </c>
      <c r="I188" s="363" t="s">
        <v>269</v>
      </c>
      <c r="J188" s="355">
        <f>H188-L188</f>
        <v>3.3000000000000002E-2</v>
      </c>
      <c r="K188" s="363" t="s">
        <v>270</v>
      </c>
      <c r="L188" s="64">
        <f>0.095-0.033</f>
        <v>6.2E-2</v>
      </c>
      <c r="M188" s="363" t="s">
        <v>57</v>
      </c>
      <c r="N188" s="396">
        <v>66.5</v>
      </c>
      <c r="O188" s="363" t="s">
        <v>59</v>
      </c>
      <c r="P188" s="396">
        <v>66.5</v>
      </c>
      <c r="Q188" s="363" t="s">
        <v>60</v>
      </c>
      <c r="R188" s="65">
        <v>133</v>
      </c>
      <c r="S188" s="363" t="s">
        <v>61</v>
      </c>
      <c r="T188" s="65">
        <v>24</v>
      </c>
      <c r="U188" s="363" t="s">
        <v>54</v>
      </c>
      <c r="V188" s="66" t="s">
        <v>398</v>
      </c>
      <c r="W188" s="463" t="s">
        <v>392</v>
      </c>
      <c r="X188" s="465">
        <v>1.5</v>
      </c>
      <c r="Y188" s="463" t="s">
        <v>391</v>
      </c>
      <c r="Z188" s="358">
        <v>12</v>
      </c>
    </row>
    <row r="189" spans="1:26" x14ac:dyDescent="0.3">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3">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2.9" thickBot="1" x14ac:dyDescent="0.3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2.9" thickBot="1" x14ac:dyDescent="0.35">
      <c r="A192" s="6" t="s">
        <v>371</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2.9" thickBot="1" x14ac:dyDescent="0.35">
      <c r="A193" s="361" t="s">
        <v>534</v>
      </c>
      <c r="B193" s="359">
        <f>ROW(A193)</f>
        <v>193</v>
      </c>
      <c r="C193" s="363" t="s">
        <v>115</v>
      </c>
      <c r="D193" s="353">
        <f>SUM(B196:Y196)</f>
        <v>141.04999999999998</v>
      </c>
      <c r="E193" s="363" t="s">
        <v>114</v>
      </c>
      <c r="F193" s="354">
        <f>D193/g/J193</f>
        <v>186.24592648930721</v>
      </c>
      <c r="G193" s="363" t="s">
        <v>56</v>
      </c>
      <c r="H193" s="64">
        <v>0.16189999999999999</v>
      </c>
      <c r="I193" s="363" t="s">
        <v>269</v>
      </c>
      <c r="J193" s="355">
        <f>H193-L193</f>
        <v>7.7199999999999991E-2</v>
      </c>
      <c r="K193" s="363" t="s">
        <v>270</v>
      </c>
      <c r="L193" s="64">
        <v>8.4699999999999998E-2</v>
      </c>
      <c r="M193" s="363" t="s">
        <v>57</v>
      </c>
      <c r="N193" s="65">
        <v>114</v>
      </c>
      <c r="O193" s="363" t="s">
        <v>59</v>
      </c>
      <c r="P193" s="65">
        <v>114</v>
      </c>
      <c r="Q193" s="363" t="s">
        <v>60</v>
      </c>
      <c r="R193" s="65">
        <v>228</v>
      </c>
      <c r="S193" s="363" t="s">
        <v>61</v>
      </c>
      <c r="T193" s="65">
        <v>24</v>
      </c>
      <c r="U193" s="363" t="s">
        <v>54</v>
      </c>
      <c r="V193" s="66" t="s">
        <v>119</v>
      </c>
      <c r="W193" s="463" t="s">
        <v>392</v>
      </c>
      <c r="X193" s="465">
        <v>0.96</v>
      </c>
      <c r="Y193" s="463" t="s">
        <v>391</v>
      </c>
      <c r="Z193" s="358">
        <v>15</v>
      </c>
    </row>
    <row r="194" spans="1:26" x14ac:dyDescent="0.3">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3">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2.9" thickBot="1" x14ac:dyDescent="0.3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2.9" thickBot="1" x14ac:dyDescent="0.35">
      <c r="A197" s="12" t="s">
        <v>543</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2.9" thickBot="1" x14ac:dyDescent="0.35">
      <c r="A198" s="361" t="s">
        <v>546</v>
      </c>
      <c r="B198" s="359">
        <f>ROW(A198)</f>
        <v>198</v>
      </c>
      <c r="C198" s="363" t="s">
        <v>115</v>
      </c>
      <c r="D198" s="353">
        <f>SUM(B201:Y201)</f>
        <v>142.44</v>
      </c>
      <c r="E198" s="363" t="s">
        <v>114</v>
      </c>
      <c r="F198" s="354">
        <f>D198/g/J198</f>
        <v>192.06187401906058</v>
      </c>
      <c r="G198" s="363" t="s">
        <v>56</v>
      </c>
      <c r="H198" s="64">
        <v>0.15989999999999999</v>
      </c>
      <c r="I198" s="363" t="s">
        <v>269</v>
      </c>
      <c r="J198" s="355">
        <f>H198-L198</f>
        <v>7.5599999999999987E-2</v>
      </c>
      <c r="K198" s="363" t="s">
        <v>270</v>
      </c>
      <c r="L198" s="64">
        <v>8.43E-2</v>
      </c>
      <c r="M198" s="363" t="s">
        <v>57</v>
      </c>
      <c r="N198" s="65">
        <v>114</v>
      </c>
      <c r="O198" s="363" t="s">
        <v>59</v>
      </c>
      <c r="P198" s="65">
        <v>114</v>
      </c>
      <c r="Q198" s="363" t="s">
        <v>60</v>
      </c>
      <c r="R198" s="65">
        <v>228</v>
      </c>
      <c r="S198" s="363" t="s">
        <v>61</v>
      </c>
      <c r="T198" s="65">
        <v>24</v>
      </c>
      <c r="U198" s="363" t="s">
        <v>54</v>
      </c>
      <c r="V198" s="66" t="s">
        <v>399</v>
      </c>
      <c r="W198" s="463" t="s">
        <v>392</v>
      </c>
      <c r="X198" s="465">
        <v>0.97</v>
      </c>
      <c r="Y198" s="463" t="s">
        <v>391</v>
      </c>
      <c r="Z198" s="358">
        <v>13</v>
      </c>
    </row>
    <row r="199" spans="1:26" x14ac:dyDescent="0.3">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3">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2.9" thickBot="1" x14ac:dyDescent="0.3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2.9" thickBot="1" x14ac:dyDescent="0.3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2.9" thickBot="1" x14ac:dyDescent="0.35">
      <c r="A203" s="361" t="s">
        <v>536</v>
      </c>
      <c r="B203" s="359">
        <f>ROW(A203)</f>
        <v>203</v>
      </c>
      <c r="C203" s="363" t="s">
        <v>115</v>
      </c>
      <c r="D203" s="353">
        <f>SUM(B206:Y206)</f>
        <v>143.08845000000002</v>
      </c>
      <c r="E203" s="363" t="s">
        <v>114</v>
      </c>
      <c r="F203" s="354">
        <f>D203/g/J203</f>
        <v>168.23504721190514</v>
      </c>
      <c r="G203" s="363" t="s">
        <v>56</v>
      </c>
      <c r="H203" s="64">
        <v>0.17249999999999999</v>
      </c>
      <c r="I203" s="363" t="s">
        <v>269</v>
      </c>
      <c r="J203" s="355">
        <f>H203-L203</f>
        <v>8.6699999999999985E-2</v>
      </c>
      <c r="K203" s="363" t="s">
        <v>270</v>
      </c>
      <c r="L203" s="64">
        <v>8.5800000000000001E-2</v>
      </c>
      <c r="M203" s="363" t="s">
        <v>57</v>
      </c>
      <c r="N203" s="65">
        <v>114</v>
      </c>
      <c r="O203" s="363" t="s">
        <v>59</v>
      </c>
      <c r="P203" s="65">
        <v>114</v>
      </c>
      <c r="Q203" s="363" t="s">
        <v>60</v>
      </c>
      <c r="R203" s="65">
        <v>228</v>
      </c>
      <c r="S203" s="363" t="s">
        <v>61</v>
      </c>
      <c r="T203" s="65">
        <v>24</v>
      </c>
      <c r="U203" s="363" t="s">
        <v>54</v>
      </c>
      <c r="V203" s="66" t="s">
        <v>119</v>
      </c>
      <c r="W203" s="463" t="s">
        <v>392</v>
      </c>
      <c r="X203" s="465">
        <v>0.97</v>
      </c>
      <c r="Y203" s="463" t="s">
        <v>391</v>
      </c>
      <c r="Z203" s="358">
        <v>11</v>
      </c>
    </row>
    <row r="204" spans="1:26" x14ac:dyDescent="0.3">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3">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2.9" thickBot="1" x14ac:dyDescent="0.3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2.9" thickBot="1" x14ac:dyDescent="0.3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2.9" thickBot="1" x14ac:dyDescent="0.35">
      <c r="A208" s="361" t="s">
        <v>535</v>
      </c>
      <c r="B208" s="359">
        <f>ROW(A208)</f>
        <v>208</v>
      </c>
      <c r="C208" s="363" t="s">
        <v>115</v>
      </c>
      <c r="D208" s="353">
        <f>SUM(B211:Y211)</f>
        <v>139.423417</v>
      </c>
      <c r="E208" s="363" t="s">
        <v>114</v>
      </c>
      <c r="F208" s="354">
        <f>D208/g/J208</f>
        <v>158.62027745922524</v>
      </c>
      <c r="G208" s="363" t="s">
        <v>56</v>
      </c>
      <c r="H208" s="64">
        <v>0.19450000000000001</v>
      </c>
      <c r="I208" s="363" t="s">
        <v>269</v>
      </c>
      <c r="J208" s="355">
        <f>H208-L208</f>
        <v>8.9600000000000013E-2</v>
      </c>
      <c r="K208" s="363" t="s">
        <v>270</v>
      </c>
      <c r="L208" s="64">
        <v>0.10489999999999999</v>
      </c>
      <c r="M208" s="363" t="s">
        <v>57</v>
      </c>
      <c r="N208" s="65">
        <v>114</v>
      </c>
      <c r="O208" s="363" t="s">
        <v>59</v>
      </c>
      <c r="P208" s="65">
        <v>144</v>
      </c>
      <c r="Q208" s="363" t="s">
        <v>60</v>
      </c>
      <c r="R208" s="65">
        <v>228</v>
      </c>
      <c r="S208" s="363" t="s">
        <v>61</v>
      </c>
      <c r="T208" s="65">
        <v>24</v>
      </c>
      <c r="U208" s="363" t="s">
        <v>54</v>
      </c>
      <c r="V208" s="66" t="s">
        <v>119</v>
      </c>
      <c r="W208" s="463" t="s">
        <v>392</v>
      </c>
      <c r="X208" s="465">
        <v>1.3</v>
      </c>
      <c r="Y208" s="463" t="s">
        <v>391</v>
      </c>
      <c r="Z208" s="358">
        <v>12</v>
      </c>
    </row>
    <row r="209" spans="1:26" x14ac:dyDescent="0.3">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3">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2.9" thickBot="1" x14ac:dyDescent="0.3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2.9" thickBot="1" x14ac:dyDescent="0.35">
      <c r="A212" s="6" t="s">
        <v>314</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2.9" thickBot="1" x14ac:dyDescent="0.35">
      <c r="A213" s="361" t="s">
        <v>373</v>
      </c>
      <c r="B213" s="359">
        <f>ROW(A213)</f>
        <v>213</v>
      </c>
      <c r="C213" s="363" t="s">
        <v>115</v>
      </c>
      <c r="D213" s="353">
        <f>SUM(B216:Y216)</f>
        <v>82.798500000000018</v>
      </c>
      <c r="E213" s="363" t="s">
        <v>114</v>
      </c>
      <c r="F213" s="354">
        <f>D213/g/J213</f>
        <v>131.87834480122325</v>
      </c>
      <c r="G213" s="363" t="s">
        <v>56</v>
      </c>
      <c r="H213" s="64">
        <v>0.152</v>
      </c>
      <c r="I213" s="363" t="s">
        <v>269</v>
      </c>
      <c r="J213" s="355">
        <f>H213-L213</f>
        <v>6.4000000000000001E-2</v>
      </c>
      <c r="K213" s="363" t="s">
        <v>270</v>
      </c>
      <c r="L213" s="64">
        <v>8.7999999999999995E-2</v>
      </c>
      <c r="M213" s="363" t="s">
        <v>57</v>
      </c>
      <c r="N213" s="65">
        <v>71</v>
      </c>
      <c r="O213" s="363" t="s">
        <v>59</v>
      </c>
      <c r="P213" s="65">
        <v>71</v>
      </c>
      <c r="Q213" s="363" t="s">
        <v>60</v>
      </c>
      <c r="R213" s="65">
        <v>142</v>
      </c>
      <c r="S213" s="363" t="s">
        <v>61</v>
      </c>
      <c r="T213" s="65">
        <v>29</v>
      </c>
      <c r="U213" s="363" t="s">
        <v>54</v>
      </c>
      <c r="V213" s="66" t="s">
        <v>119</v>
      </c>
      <c r="W213" s="463" t="s">
        <v>392</v>
      </c>
      <c r="X213" s="465">
        <v>0.96</v>
      </c>
      <c r="Y213" s="463" t="s">
        <v>391</v>
      </c>
      <c r="Z213" s="358">
        <v>11</v>
      </c>
    </row>
    <row r="214" spans="1:26" x14ac:dyDescent="0.3">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3">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2.9" thickBot="1" x14ac:dyDescent="0.3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2.9" thickBot="1" x14ac:dyDescent="0.3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2.9" thickBot="1" x14ac:dyDescent="0.35">
      <c r="A218" s="361" t="s">
        <v>374</v>
      </c>
      <c r="B218" s="359">
        <f>ROW(A218)</f>
        <v>218</v>
      </c>
      <c r="C218" s="363" t="s">
        <v>115</v>
      </c>
      <c r="D218" s="353">
        <f>SUM(B221:Y221)</f>
        <v>98.257101163036367</v>
      </c>
      <c r="E218" s="363" t="s">
        <v>114</v>
      </c>
      <c r="F218" s="354">
        <f>D218/g/J218</f>
        <v>177.58890761893778</v>
      </c>
      <c r="G218" s="363" t="s">
        <v>56</v>
      </c>
      <c r="H218" s="64">
        <v>0.14319999999999999</v>
      </c>
      <c r="I218" s="363" t="s">
        <v>269</v>
      </c>
      <c r="J218" s="355">
        <f>H218-L218</f>
        <v>5.6399999999999992E-2</v>
      </c>
      <c r="K218" s="363" t="s">
        <v>270</v>
      </c>
      <c r="L218" s="64">
        <v>8.6800000000000002E-2</v>
      </c>
      <c r="M218" s="363" t="s">
        <v>57</v>
      </c>
      <c r="N218" s="65">
        <v>71</v>
      </c>
      <c r="O218" s="363" t="s">
        <v>59</v>
      </c>
      <c r="P218" s="65">
        <v>71</v>
      </c>
      <c r="Q218" s="363" t="s">
        <v>60</v>
      </c>
      <c r="R218" s="65">
        <v>142</v>
      </c>
      <c r="S218" s="363" t="s">
        <v>61</v>
      </c>
      <c r="T218" s="65">
        <v>29</v>
      </c>
      <c r="U218" s="363" t="s">
        <v>54</v>
      </c>
      <c r="V218" s="66" t="s">
        <v>119</v>
      </c>
      <c r="W218" s="463" t="s">
        <v>392</v>
      </c>
      <c r="X218" s="465">
        <v>1.1499999999999999</v>
      </c>
      <c r="Y218" s="463" t="s">
        <v>391</v>
      </c>
      <c r="Z218" s="358">
        <v>14</v>
      </c>
    </row>
    <row r="219" spans="1:26" x14ac:dyDescent="0.3">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3">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2.9" thickBot="1" x14ac:dyDescent="0.3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2.9" thickBot="1" x14ac:dyDescent="0.3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2.9" thickBot="1" x14ac:dyDescent="0.35">
      <c r="A223" s="361" t="s">
        <v>375</v>
      </c>
      <c r="B223" s="359">
        <f>ROW(A223)</f>
        <v>223</v>
      </c>
      <c r="C223" s="363" t="s">
        <v>115</v>
      </c>
      <c r="D223" s="353">
        <f>SUM(B226:Y226)</f>
        <v>109.60639850000001</v>
      </c>
      <c r="E223" s="363" t="s">
        <v>114</v>
      </c>
      <c r="F223" s="354">
        <f>D223/g/J223</f>
        <v>194.31174666489383</v>
      </c>
      <c r="G223" s="363" t="s">
        <v>56</v>
      </c>
      <c r="H223" s="64">
        <v>0.14130000000000001</v>
      </c>
      <c r="I223" s="363" t="s">
        <v>269</v>
      </c>
      <c r="J223" s="355">
        <f>H223-L223</f>
        <v>5.7500000000000009E-2</v>
      </c>
      <c r="K223" s="363" t="s">
        <v>270</v>
      </c>
      <c r="L223" s="64">
        <v>8.3799999999999999E-2</v>
      </c>
      <c r="M223" s="363" t="s">
        <v>57</v>
      </c>
      <c r="N223" s="65">
        <v>71</v>
      </c>
      <c r="O223" s="363" t="s">
        <v>59</v>
      </c>
      <c r="P223" s="65">
        <v>71</v>
      </c>
      <c r="Q223" s="363" t="s">
        <v>60</v>
      </c>
      <c r="R223" s="65">
        <v>142</v>
      </c>
      <c r="S223" s="363" t="s">
        <v>61</v>
      </c>
      <c r="T223" s="65">
        <v>29</v>
      </c>
      <c r="U223" s="363" t="s">
        <v>54</v>
      </c>
      <c r="V223" s="66" t="s">
        <v>399</v>
      </c>
      <c r="W223" s="463" t="s">
        <v>392</v>
      </c>
      <c r="X223" s="465">
        <v>0.45</v>
      </c>
      <c r="Y223" s="463" t="s">
        <v>391</v>
      </c>
      <c r="Z223" s="358">
        <v>14</v>
      </c>
    </row>
    <row r="224" spans="1:26" x14ac:dyDescent="0.3">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3">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2.9" thickBot="1" x14ac:dyDescent="0.3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2.9" thickBot="1" x14ac:dyDescent="0.3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2.9" thickBot="1" x14ac:dyDescent="0.35">
      <c r="A228" s="361" t="s">
        <v>376</v>
      </c>
      <c r="B228" s="359">
        <f>ROW(A228)</f>
        <v>228</v>
      </c>
      <c r="C228" s="363" t="s">
        <v>115</v>
      </c>
      <c r="D228" s="353">
        <f>SUM(B231:Y231)</f>
        <v>115.63</v>
      </c>
      <c r="E228" s="363" t="s">
        <v>114</v>
      </c>
      <c r="F228" s="354">
        <f>D228/g/J228</f>
        <v>199.77884897804037</v>
      </c>
      <c r="G228" s="363" t="s">
        <v>56</v>
      </c>
      <c r="H228" s="64">
        <v>0.14499999999999999</v>
      </c>
      <c r="I228" s="363" t="s">
        <v>269</v>
      </c>
      <c r="J228" s="355">
        <f>H228-L228</f>
        <v>5.8999999999999997E-2</v>
      </c>
      <c r="K228" s="363" t="s">
        <v>270</v>
      </c>
      <c r="L228" s="64">
        <v>8.5999999999999993E-2</v>
      </c>
      <c r="M228" s="363" t="s">
        <v>57</v>
      </c>
      <c r="N228" s="65">
        <v>71</v>
      </c>
      <c r="O228" s="363" t="s">
        <v>59</v>
      </c>
      <c r="P228" s="65">
        <v>71</v>
      </c>
      <c r="Q228" s="363" t="s">
        <v>60</v>
      </c>
      <c r="R228" s="65">
        <v>142</v>
      </c>
      <c r="S228" s="363" t="s">
        <v>61</v>
      </c>
      <c r="T228" s="65">
        <v>29</v>
      </c>
      <c r="U228" s="363" t="s">
        <v>54</v>
      </c>
      <c r="V228" s="66" t="s">
        <v>398</v>
      </c>
      <c r="W228" s="463" t="s">
        <v>392</v>
      </c>
      <c r="X228" s="465">
        <v>0.93</v>
      </c>
      <c r="Y228" s="463" t="s">
        <v>391</v>
      </c>
      <c r="Z228" s="358">
        <v>13</v>
      </c>
    </row>
    <row r="229" spans="1:26" x14ac:dyDescent="0.3">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3">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2.9" thickBot="1" x14ac:dyDescent="0.3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2.9" thickBot="1" x14ac:dyDescent="0.35">
      <c r="A232" s="6" t="s">
        <v>384</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2.9" thickBot="1" x14ac:dyDescent="0.35">
      <c r="A233" s="361" t="s">
        <v>385</v>
      </c>
      <c r="B233" s="359">
        <f>ROW(A233)</f>
        <v>233</v>
      </c>
      <c r="C233" s="363" t="s">
        <v>115</v>
      </c>
      <c r="D233" s="353">
        <f>SUM(B236:Y236)</f>
        <v>115.63</v>
      </c>
      <c r="E233" s="363" t="s">
        <v>114</v>
      </c>
      <c r="F233" s="354">
        <f>D233/g/J233</f>
        <v>125.39310733728064</v>
      </c>
      <c r="G233" s="363" t="s">
        <v>56</v>
      </c>
      <c r="H233" s="64">
        <v>0.2</v>
      </c>
      <c r="I233" s="363" t="s">
        <v>269</v>
      </c>
      <c r="J233" s="355">
        <f>H233-L233</f>
        <v>9.4000000000000014E-2</v>
      </c>
      <c r="K233" s="363" t="s">
        <v>270</v>
      </c>
      <c r="L233" s="64">
        <v>0.106</v>
      </c>
      <c r="M233" s="363" t="s">
        <v>57</v>
      </c>
      <c r="N233" s="65">
        <v>93</v>
      </c>
      <c r="O233" s="363" t="s">
        <v>59</v>
      </c>
      <c r="P233" s="65">
        <v>93</v>
      </c>
      <c r="Q233" s="363" t="s">
        <v>60</v>
      </c>
      <c r="R233" s="65">
        <v>187</v>
      </c>
      <c r="S233" s="363" t="s">
        <v>61</v>
      </c>
      <c r="T233" s="65">
        <v>29</v>
      </c>
      <c r="U233" s="363" t="s">
        <v>54</v>
      </c>
      <c r="V233" s="66" t="s">
        <v>119</v>
      </c>
      <c r="W233" s="463" t="s">
        <v>392</v>
      </c>
      <c r="X233" s="465">
        <v>0.96</v>
      </c>
      <c r="Y233" s="463" t="s">
        <v>391</v>
      </c>
      <c r="Z233" s="358">
        <v>14</v>
      </c>
    </row>
    <row r="234" spans="1:26" x14ac:dyDescent="0.3">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3">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2.9" thickBot="1" x14ac:dyDescent="0.3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2.9" thickBot="1" x14ac:dyDescent="0.3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2.9" thickBot="1" x14ac:dyDescent="0.35">
      <c r="A238" s="361" t="s">
        <v>390</v>
      </c>
      <c r="B238" s="359">
        <f>ROW(A238)</f>
        <v>238</v>
      </c>
      <c r="C238" s="363" t="s">
        <v>115</v>
      </c>
      <c r="D238" s="353">
        <f>SUM(B241:Y241)</f>
        <v>158.04815100000002</v>
      </c>
      <c r="E238" s="363" t="s">
        <v>114</v>
      </c>
      <c r="F238" s="354">
        <v>198</v>
      </c>
      <c r="G238" s="363" t="s">
        <v>56</v>
      </c>
      <c r="H238" s="64">
        <v>0.19450000000000001</v>
      </c>
      <c r="I238" s="363" t="s">
        <v>269</v>
      </c>
      <c r="J238" s="355">
        <f>H238-L238</f>
        <v>8.9600000000000013E-2</v>
      </c>
      <c r="K238" s="363" t="s">
        <v>270</v>
      </c>
      <c r="L238" s="64">
        <v>0.10489999999999999</v>
      </c>
      <c r="M238" s="363" t="s">
        <v>57</v>
      </c>
      <c r="N238" s="65">
        <v>93</v>
      </c>
      <c r="O238" s="363" t="s">
        <v>59</v>
      </c>
      <c r="P238" s="65">
        <v>93</v>
      </c>
      <c r="Q238" s="363" t="s">
        <v>60</v>
      </c>
      <c r="R238" s="65">
        <v>187</v>
      </c>
      <c r="S238" s="363" t="s">
        <v>61</v>
      </c>
      <c r="T238" s="65">
        <v>29</v>
      </c>
      <c r="U238" s="363" t="s">
        <v>54</v>
      </c>
      <c r="V238" s="66" t="s">
        <v>119</v>
      </c>
      <c r="W238" s="463" t="s">
        <v>392</v>
      </c>
      <c r="X238" s="465">
        <v>1.27</v>
      </c>
      <c r="Y238" s="463" t="s">
        <v>391</v>
      </c>
      <c r="Z238" s="358">
        <v>14</v>
      </c>
    </row>
    <row r="239" spans="1:26" x14ac:dyDescent="0.3">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3">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2.9" thickBot="1" x14ac:dyDescent="0.3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2.9" thickBot="1" x14ac:dyDescent="0.35">
      <c r="A242" s="6" t="s">
        <v>372</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2.9" thickBot="1" x14ac:dyDescent="0.35">
      <c r="A243" s="361" t="s">
        <v>377</v>
      </c>
      <c r="B243" s="359">
        <f>ROW(A243)</f>
        <v>243</v>
      </c>
      <c r="C243" s="363" t="s">
        <v>115</v>
      </c>
      <c r="D243" s="353">
        <f>SUM(B246:Y246)</f>
        <v>136.75235000000001</v>
      </c>
      <c r="E243" s="363" t="s">
        <v>114</v>
      </c>
      <c r="F243" s="354">
        <f>D243/g/J243</f>
        <v>152.35078513616639</v>
      </c>
      <c r="G243" s="363" t="s">
        <v>56</v>
      </c>
      <c r="H243" s="64">
        <v>0.21249999999999999</v>
      </c>
      <c r="I243" s="363" t="s">
        <v>269</v>
      </c>
      <c r="J243" s="355">
        <f>H243-L243</f>
        <v>9.1499999999999998E-2</v>
      </c>
      <c r="K243" s="363" t="s">
        <v>270</v>
      </c>
      <c r="L243" s="64">
        <v>0.121</v>
      </c>
      <c r="M243" s="363" t="s">
        <v>57</v>
      </c>
      <c r="N243" s="65">
        <v>63</v>
      </c>
      <c r="O243" s="363" t="s">
        <v>59</v>
      </c>
      <c r="P243" s="65">
        <v>114</v>
      </c>
      <c r="Q243" s="363" t="s">
        <v>60</v>
      </c>
      <c r="R243" s="65">
        <v>127</v>
      </c>
      <c r="S243" s="363" t="s">
        <v>61</v>
      </c>
      <c r="T243" s="65">
        <v>38</v>
      </c>
      <c r="U243" s="363" t="s">
        <v>54</v>
      </c>
      <c r="V243" s="66" t="s">
        <v>119</v>
      </c>
      <c r="W243" s="463" t="s">
        <v>392</v>
      </c>
      <c r="X243" s="465">
        <v>2.36</v>
      </c>
      <c r="Y243" s="463" t="s">
        <v>391</v>
      </c>
      <c r="Z243" s="358">
        <v>13</v>
      </c>
    </row>
    <row r="244" spans="1:26" x14ac:dyDescent="0.3">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3">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2.9" thickBot="1" x14ac:dyDescent="0.3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2.9" thickBot="1" x14ac:dyDescent="0.3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2.9" thickBot="1" x14ac:dyDescent="0.35">
      <c r="A248" s="361" t="s">
        <v>378</v>
      </c>
      <c r="B248" s="359">
        <f>ROW(A248)</f>
        <v>248</v>
      </c>
      <c r="C248" s="363" t="s">
        <v>115</v>
      </c>
      <c r="D248" s="353">
        <f>SUM(B251:Y251)</f>
        <v>127.06944999999999</v>
      </c>
      <c r="E248" s="363" t="s">
        <v>114</v>
      </c>
      <c r="F248" s="354">
        <f>D248/g/J248</f>
        <v>180.65624835614466</v>
      </c>
      <c r="G248" s="363" t="s">
        <v>56</v>
      </c>
      <c r="H248" s="64">
        <v>0.18840000000000001</v>
      </c>
      <c r="I248" s="363" t="s">
        <v>269</v>
      </c>
      <c r="J248" s="355">
        <f>H248-L248</f>
        <v>7.1700000000000014E-2</v>
      </c>
      <c r="K248" s="363" t="s">
        <v>270</v>
      </c>
      <c r="L248" s="64">
        <v>0.1167</v>
      </c>
      <c r="M248" s="363" t="s">
        <v>57</v>
      </c>
      <c r="N248" s="65">
        <v>63</v>
      </c>
      <c r="O248" s="363" t="s">
        <v>59</v>
      </c>
      <c r="P248" s="65">
        <v>114</v>
      </c>
      <c r="Q248" s="363" t="s">
        <v>60</v>
      </c>
      <c r="R248" s="65">
        <v>127</v>
      </c>
      <c r="S248" s="363" t="s">
        <v>61</v>
      </c>
      <c r="T248" s="65">
        <v>38</v>
      </c>
      <c r="U248" s="363" t="s">
        <v>54</v>
      </c>
      <c r="V248" s="66" t="s">
        <v>119</v>
      </c>
      <c r="W248" s="463" t="s">
        <v>392</v>
      </c>
      <c r="X248" s="465">
        <v>0.69</v>
      </c>
      <c r="Y248" s="463" t="s">
        <v>391</v>
      </c>
      <c r="Z248" s="358">
        <v>12</v>
      </c>
    </row>
    <row r="249" spans="1:26" x14ac:dyDescent="0.3">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3">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2.9" thickBot="1" x14ac:dyDescent="0.3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2.9" thickBot="1" x14ac:dyDescent="0.3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2.9" thickBot="1" x14ac:dyDescent="0.35">
      <c r="A253" s="361" t="s">
        <v>386</v>
      </c>
      <c r="B253" s="359">
        <f>ROW(A253)</f>
        <v>253</v>
      </c>
      <c r="C253" s="363" t="s">
        <v>115</v>
      </c>
      <c r="D253" s="353">
        <f>SUM(B256:Y256)</f>
        <v>142.7236025</v>
      </c>
      <c r="E253" s="363" t="s">
        <v>114</v>
      </c>
      <c r="F253" s="354">
        <v>208</v>
      </c>
      <c r="G253" s="363" t="s">
        <v>56</v>
      </c>
      <c r="H253" s="64">
        <v>0.19700000000000001</v>
      </c>
      <c r="I253" s="363" t="s">
        <v>269</v>
      </c>
      <c r="J253" s="355">
        <f>H253-L253</f>
        <v>7.0000000000000007E-2</v>
      </c>
      <c r="K253" s="363" t="s">
        <v>270</v>
      </c>
      <c r="L253" s="64">
        <v>0.127</v>
      </c>
      <c r="M253" s="363" t="s">
        <v>57</v>
      </c>
      <c r="N253" s="65">
        <v>63</v>
      </c>
      <c r="O253" s="363" t="s">
        <v>59</v>
      </c>
      <c r="P253" s="65">
        <v>114</v>
      </c>
      <c r="Q253" s="363" t="s">
        <v>60</v>
      </c>
      <c r="R253" s="65">
        <v>127</v>
      </c>
      <c r="S253" s="363" t="s">
        <v>61</v>
      </c>
      <c r="T253" s="65">
        <v>38</v>
      </c>
      <c r="U253" s="363" t="s">
        <v>54</v>
      </c>
      <c r="V253" s="66" t="s">
        <v>119</v>
      </c>
      <c r="W253" s="463" t="s">
        <v>392</v>
      </c>
      <c r="X253" s="465">
        <v>1.8</v>
      </c>
      <c r="Y253" s="463" t="s">
        <v>391</v>
      </c>
      <c r="Z253" s="358">
        <v>15</v>
      </c>
    </row>
    <row r="254" spans="1:26" x14ac:dyDescent="0.3">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3">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2.9" thickBot="1" x14ac:dyDescent="0.3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2.9" thickBot="1" x14ac:dyDescent="0.3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2.9" thickBot="1" x14ac:dyDescent="0.35">
      <c r="A258" s="361" t="s">
        <v>272</v>
      </c>
      <c r="B258" s="360">
        <f>ROW(A258)</f>
        <v>258</v>
      </c>
      <c r="C258" s="363" t="s">
        <v>115</v>
      </c>
      <c r="D258" s="353">
        <f>SUM(B261:Y261)</f>
        <v>33.500000000000007</v>
      </c>
      <c r="E258" s="363" t="s">
        <v>114</v>
      </c>
      <c r="F258" s="354">
        <f>D258/g/J258</f>
        <v>68.297655453618759</v>
      </c>
      <c r="G258" s="363" t="s">
        <v>56</v>
      </c>
      <c r="H258" s="64">
        <v>8.5000000000000006E-2</v>
      </c>
      <c r="I258" s="363" t="s">
        <v>269</v>
      </c>
      <c r="J258" s="355">
        <f>H258-L258</f>
        <v>0.05</v>
      </c>
      <c r="K258" s="363" t="s">
        <v>270</v>
      </c>
      <c r="L258" s="64">
        <v>3.5000000000000003E-2</v>
      </c>
      <c r="M258" s="363" t="s">
        <v>57</v>
      </c>
      <c r="N258" s="65">
        <v>20</v>
      </c>
      <c r="O258" s="363" t="s">
        <v>59</v>
      </c>
      <c r="P258" s="65">
        <v>20</v>
      </c>
      <c r="Q258" s="363" t="s">
        <v>60</v>
      </c>
      <c r="R258" s="65">
        <v>39</v>
      </c>
      <c r="S258" s="363" t="s">
        <v>61</v>
      </c>
      <c r="T258" s="65">
        <v>39</v>
      </c>
      <c r="U258" s="363" t="s">
        <v>54</v>
      </c>
      <c r="V258" s="66" t="s">
        <v>399</v>
      </c>
      <c r="W258" s="12"/>
      <c r="X258" s="12"/>
      <c r="Y258" s="12"/>
    </row>
    <row r="259" spans="1:25" x14ac:dyDescent="0.3">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3">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2.9" thickBot="1" x14ac:dyDescent="0.3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2.9" thickBot="1" x14ac:dyDescent="0.3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2.9" thickBot="1" x14ac:dyDescent="0.35">
      <c r="A263" s="361" t="s">
        <v>273</v>
      </c>
      <c r="B263" s="359">
        <f>ROW(A263)</f>
        <v>263</v>
      </c>
      <c r="C263" s="363" t="s">
        <v>115</v>
      </c>
      <c r="D263" s="353">
        <f>SUM(B266:Y266)</f>
        <v>145.46</v>
      </c>
      <c r="E263" s="363" t="s">
        <v>114</v>
      </c>
      <c r="F263" s="354">
        <f>D263/g/J263</f>
        <v>211.82466870540264</v>
      </c>
      <c r="G263" s="363" t="s">
        <v>56</v>
      </c>
      <c r="H263" s="64">
        <v>0.22</v>
      </c>
      <c r="I263" s="363" t="s">
        <v>269</v>
      </c>
      <c r="J263" s="355">
        <f>H263-L263</f>
        <v>7.0000000000000007E-2</v>
      </c>
      <c r="K263" s="363" t="s">
        <v>270</v>
      </c>
      <c r="L263" s="64">
        <v>0.15</v>
      </c>
      <c r="M263" s="363" t="s">
        <v>57</v>
      </c>
      <c r="N263" s="65">
        <v>50</v>
      </c>
      <c r="O263" s="363" t="s">
        <v>59</v>
      </c>
      <c r="P263" s="65">
        <v>55</v>
      </c>
      <c r="Q263" s="363" t="s">
        <v>60</v>
      </c>
      <c r="R263" s="65">
        <v>76</v>
      </c>
      <c r="S263" s="363" t="s">
        <v>61</v>
      </c>
      <c r="T263" s="65">
        <v>40</v>
      </c>
      <c r="U263" s="363" t="s">
        <v>54</v>
      </c>
      <c r="V263" s="66" t="s">
        <v>399</v>
      </c>
      <c r="W263" s="12"/>
      <c r="X263" s="12"/>
      <c r="Y263" s="12"/>
    </row>
    <row r="264" spans="1:25" x14ac:dyDescent="0.3">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3">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2.9" thickBot="1" x14ac:dyDescent="0.3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3">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2.9" thickBot="1" x14ac:dyDescent="0.35">
      <c r="A268" s="6" t="s">
        <v>311</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2.9" thickBot="1" x14ac:dyDescent="0.35">
      <c r="A269" s="361" t="s">
        <v>35</v>
      </c>
      <c r="B269" s="359">
        <f>ROW(A269)</f>
        <v>269</v>
      </c>
      <c r="C269" s="363" t="s">
        <v>115</v>
      </c>
      <c r="D269" s="353">
        <f>SUM(B272:Y272)</f>
        <v>1071.5999999999999</v>
      </c>
      <c r="E269" s="363" t="s">
        <v>114</v>
      </c>
      <c r="F269" s="354">
        <f>D269/g/J269</f>
        <v>163.03802090465106</v>
      </c>
      <c r="G269" s="363" t="s">
        <v>56</v>
      </c>
      <c r="H269" s="64">
        <v>2.02</v>
      </c>
      <c r="I269" s="363" t="s">
        <v>269</v>
      </c>
      <c r="J269" s="355">
        <f>H269-L269</f>
        <v>0.66999999999999993</v>
      </c>
      <c r="K269" s="363" t="s">
        <v>270</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3">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3">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2.9" thickBot="1" x14ac:dyDescent="0.3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2.9" thickBot="1" x14ac:dyDescent="0.35">
      <c r="S273" s="12"/>
      <c r="T273" s="12"/>
      <c r="U273" s="12"/>
      <c r="V273" s="12"/>
      <c r="W273" s="12"/>
      <c r="X273" s="12"/>
      <c r="Y273" s="12"/>
    </row>
    <row r="274" spans="1:25" ht="12.9" thickBot="1" x14ac:dyDescent="0.35">
      <c r="A274" s="361" t="s">
        <v>36</v>
      </c>
      <c r="B274" s="359">
        <f>ROW(A274)</f>
        <v>274</v>
      </c>
      <c r="C274" s="363" t="s">
        <v>115</v>
      </c>
      <c r="D274" s="353">
        <f>SUM(B277:Y277)</f>
        <v>2102.35</v>
      </c>
      <c r="E274" s="363" t="s">
        <v>114</v>
      </c>
      <c r="F274" s="354">
        <f>D274/g/J274</f>
        <v>174.23319493133766</v>
      </c>
      <c r="G274" s="363" t="s">
        <v>56</v>
      </c>
      <c r="H274" s="64">
        <v>3.7</v>
      </c>
      <c r="I274" s="363" t="s">
        <v>269</v>
      </c>
      <c r="J274" s="355">
        <f>H274-L274</f>
        <v>1.23</v>
      </c>
      <c r="K274" s="363" t="s">
        <v>270</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3">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3">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2.9" thickBot="1" x14ac:dyDescent="0.3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2.9" thickBot="1" x14ac:dyDescent="0.35"/>
    <row r="279" spans="1:25" ht="12.9" thickBot="1" x14ac:dyDescent="0.35">
      <c r="A279" s="361" t="s">
        <v>547</v>
      </c>
      <c r="B279" s="359">
        <f>ROW(A279)</f>
        <v>279</v>
      </c>
      <c r="C279" s="363" t="s">
        <v>115</v>
      </c>
      <c r="D279" s="353">
        <f>SUM(B282:Y282)</f>
        <v>2058.37</v>
      </c>
      <c r="E279" s="363" t="s">
        <v>114</v>
      </c>
      <c r="F279" s="354">
        <f>D279/g/J279</f>
        <v>203.12066731598335</v>
      </c>
      <c r="G279" s="363" t="s">
        <v>56</v>
      </c>
      <c r="H279" s="64">
        <v>1.6850000000000001</v>
      </c>
      <c r="I279" s="363" t="s">
        <v>269</v>
      </c>
      <c r="J279" s="355">
        <f>H279-L279</f>
        <v>1.0329999999999999</v>
      </c>
      <c r="K279" s="363" t="s">
        <v>270</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3">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3">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2.9" thickBot="1" x14ac:dyDescent="0.3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2.9" thickBot="1" x14ac:dyDescent="0.3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2.9" thickBot="1" x14ac:dyDescent="0.35">
      <c r="A284" s="361" t="s">
        <v>550</v>
      </c>
      <c r="B284" s="359">
        <f>ROW(A284)</f>
        <v>284</v>
      </c>
      <c r="C284" s="363" t="s">
        <v>115</v>
      </c>
      <c r="D284" s="353">
        <f>SUM(B287:Y287)</f>
        <v>1998.2428999999995</v>
      </c>
      <c r="E284" s="363" t="s">
        <v>114</v>
      </c>
      <c r="F284" s="354">
        <f>D284/g/J284</f>
        <v>207.42819268753979</v>
      </c>
      <c r="G284" s="363" t="s">
        <v>56</v>
      </c>
      <c r="H284" s="64">
        <v>1.6319999999999999</v>
      </c>
      <c r="I284" s="363" t="s">
        <v>269</v>
      </c>
      <c r="J284" s="355">
        <f>H284-L284</f>
        <v>0.98199999999999987</v>
      </c>
      <c r="K284" s="363" t="s">
        <v>270</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3">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3">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2.9" thickBot="1" x14ac:dyDescent="0.3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2.9" thickBot="1" x14ac:dyDescent="0.35">
      <c r="A288" s="12"/>
      <c r="L288" s="12"/>
      <c r="M288" s="12"/>
      <c r="N288" s="12"/>
      <c r="O288" s="12"/>
      <c r="P288" s="12"/>
      <c r="Q288" s="12"/>
      <c r="R288" s="12"/>
      <c r="S288" s="12"/>
      <c r="T288" s="12"/>
      <c r="U288" s="12"/>
      <c r="V288" s="12"/>
      <c r="W288" s="12"/>
      <c r="X288" s="12"/>
      <c r="Y288" s="12"/>
    </row>
    <row r="289" spans="1:25" ht="12.9" thickBot="1" x14ac:dyDescent="0.35">
      <c r="A289" s="361" t="s">
        <v>548</v>
      </c>
      <c r="B289" s="359">
        <f>ROW(A289)</f>
        <v>289</v>
      </c>
      <c r="C289" s="363" t="s">
        <v>115</v>
      </c>
      <c r="D289" s="353">
        <f>SUM(B292:Y292)</f>
        <v>3739.0284999999994</v>
      </c>
      <c r="E289" s="363" t="s">
        <v>114</v>
      </c>
      <c r="F289" s="354">
        <f>D289/g/J289</f>
        <v>203.4941790441234</v>
      </c>
      <c r="G289" s="363" t="s">
        <v>56</v>
      </c>
      <c r="H289" s="64">
        <v>3.5110000000000001</v>
      </c>
      <c r="I289" s="363" t="s">
        <v>269</v>
      </c>
      <c r="J289" s="355">
        <f>H289-L289</f>
        <v>1.8730000000000002</v>
      </c>
      <c r="K289" s="363" t="s">
        <v>270</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3">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3">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2.9" thickBot="1" x14ac:dyDescent="0.3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2.9" thickBot="1" x14ac:dyDescent="0.3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2.9" thickBot="1" x14ac:dyDescent="0.35">
      <c r="A294" s="361" t="s">
        <v>554</v>
      </c>
      <c r="B294" s="359">
        <f>ROW(A294)</f>
        <v>294</v>
      </c>
      <c r="C294" s="363" t="s">
        <v>115</v>
      </c>
      <c r="D294" s="353">
        <f>SUM(B297:Y297)</f>
        <v>14273.976008499998</v>
      </c>
      <c r="E294" s="363" t="s">
        <v>114</v>
      </c>
      <c r="F294" s="354">
        <f>D294/g/J294</f>
        <v>169.50645688990159</v>
      </c>
      <c r="G294" s="363" t="s">
        <v>56</v>
      </c>
      <c r="H294" s="64">
        <v>13.247999999999999</v>
      </c>
      <c r="I294" s="363" t="s">
        <v>269</v>
      </c>
      <c r="J294" s="355">
        <f>H294-L294</f>
        <v>8.5839999999999996</v>
      </c>
      <c r="K294" s="363" t="s">
        <v>270</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3">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3">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2.9" thickBot="1" x14ac:dyDescent="0.3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2.9" thickBot="1" x14ac:dyDescent="0.35">
      <c r="A298" s="12"/>
      <c r="L298" s="12"/>
      <c r="M298" s="12"/>
      <c r="N298" s="12"/>
      <c r="O298" s="12"/>
      <c r="P298" s="12"/>
      <c r="Q298" s="12"/>
      <c r="R298" s="12"/>
      <c r="S298" s="12"/>
      <c r="T298" s="12"/>
      <c r="U298" s="12"/>
      <c r="V298" s="12"/>
      <c r="W298" s="12"/>
      <c r="X298" s="12"/>
      <c r="Y298" s="12"/>
    </row>
    <row r="299" spans="1:25" ht="12.9" thickBot="1" x14ac:dyDescent="0.35">
      <c r="A299" s="361" t="s">
        <v>316</v>
      </c>
      <c r="B299" s="359">
        <f>ROW(A299)</f>
        <v>299</v>
      </c>
      <c r="C299" s="363" t="s">
        <v>115</v>
      </c>
      <c r="D299" s="353">
        <f>SUM(B302:Y302)</f>
        <v>7412.4371409999985</v>
      </c>
      <c r="E299" s="363" t="s">
        <v>114</v>
      </c>
      <c r="F299" s="354">
        <f>D299/g/J299</f>
        <v>223.28608637999045</v>
      </c>
      <c r="G299" s="363" t="s">
        <v>56</v>
      </c>
      <c r="H299" s="64">
        <v>6.25</v>
      </c>
      <c r="I299" s="363" t="s">
        <v>269</v>
      </c>
      <c r="J299" s="355">
        <f>H299-L299</f>
        <v>3.3839999999999999</v>
      </c>
      <c r="K299" s="363" t="s">
        <v>270</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3">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3">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2.9" thickBot="1" x14ac:dyDescent="0.3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2.9" thickBot="1" x14ac:dyDescent="0.3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2.9" thickBot="1" x14ac:dyDescent="0.35">
      <c r="A304" s="361" t="s">
        <v>549</v>
      </c>
      <c r="B304" s="359">
        <f>ROW(A304)</f>
        <v>304</v>
      </c>
      <c r="C304" s="363" t="s">
        <v>115</v>
      </c>
      <c r="D304" s="353">
        <f>SUM(B307:Y307)</f>
        <v>17734.977350500001</v>
      </c>
      <c r="E304" s="363" t="s">
        <v>114</v>
      </c>
      <c r="F304" s="354">
        <f>D304/g/J304</f>
        <v>192.73420306179892</v>
      </c>
      <c r="G304" s="363" t="s">
        <v>56</v>
      </c>
      <c r="H304" s="64">
        <v>14.747999999999999</v>
      </c>
      <c r="I304" s="363" t="s">
        <v>269</v>
      </c>
      <c r="J304" s="355">
        <f>H304-L304</f>
        <v>9.379999999999999</v>
      </c>
      <c r="K304" s="363" t="s">
        <v>270</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3">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3">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2.9" thickBot="1" x14ac:dyDescent="0.3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2.9" thickBot="1" x14ac:dyDescent="0.3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2.9" thickBot="1" x14ac:dyDescent="0.35">
      <c r="A309" s="361" t="s">
        <v>44</v>
      </c>
      <c r="B309" s="359">
        <f>ROW(A309)</f>
        <v>309</v>
      </c>
      <c r="C309" s="363" t="s">
        <v>115</v>
      </c>
      <c r="D309" s="353">
        <f>SUM(B312:Y312)</f>
        <v>1E-3</v>
      </c>
      <c r="E309" s="363" t="s">
        <v>114</v>
      </c>
      <c r="F309" s="354">
        <f>D309/g/J309</f>
        <v>1.019367991845056</v>
      </c>
      <c r="G309" s="363" t="s">
        <v>56</v>
      </c>
      <c r="H309" s="64">
        <v>1E-4</v>
      </c>
      <c r="I309" s="363" t="s">
        <v>269</v>
      </c>
      <c r="J309" s="355">
        <f>H309-L309</f>
        <v>1E-4</v>
      </c>
      <c r="K309" s="363" t="s">
        <v>270</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3">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3">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2.9" thickBot="1" x14ac:dyDescent="0.3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3">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3">
      <c r="A316" s="397" t="str">
        <f>IF(Lang="Français","Liste des propu affichés :","Motor list (shown):")</f>
        <v>Liste des propu affichés :</v>
      </c>
      <c r="C316" s="640" t="s">
        <v>274</v>
      </c>
      <c r="D316" s="641"/>
      <c r="F316" s="640" t="s">
        <v>181</v>
      </c>
      <c r="G316" s="641"/>
      <c r="H316" s="12"/>
      <c r="I316" s="640" t="s">
        <v>395</v>
      </c>
      <c r="J316" s="641"/>
      <c r="K316" s="12"/>
      <c r="L316" s="640" t="s">
        <v>182</v>
      </c>
      <c r="M316" s="641"/>
      <c r="O316" s="640" t="s">
        <v>394</v>
      </c>
      <c r="P316" s="641"/>
      <c r="R316" s="640" t="s">
        <v>118</v>
      </c>
      <c r="S316" s="641"/>
    </row>
    <row r="317" spans="1:25" x14ac:dyDescent="0.3">
      <c r="A317" s="398" t="str">
        <f t="array" ref="A317:A346">IF(RIGHT(Type_fusee,1)=".",Liste_fusex, IF(LEFT(Type_fusee,4)="Mini",Liste_minif, IF(LEFT(Type_fusee,5)="Micro",Liste_µfu, IF(RIGHT(Type_fusee,1)=" ",Liste_H2O, IF(LEFT(Type_fusee,1)="R",Liste_RC, IF(LEFT(Type_fusee,1)=",",Liste_minifT))))))</f>
        <v>Pro54-5G WT</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3">
      <c r="A318" s="398" t="str">
        <v>Barasinga (Pro54-5G C)</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3">
      <c r="A319" s="398" t="str">
        <v>Orignal (Pro75-3G C)</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3">
      <c r="A320" s="398" t="str">
        <v>Pro98-6G Green</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3">
      <c r="A321" s="398" t="str">
        <v xml:space="preserve"> </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3">
      <c r="A322" s="398" t="str">
        <v xml:space="preserve"> </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3">
      <c r="A323" s="398" t="str">
        <v xml:space="preserve"> </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3">
      <c r="A324" s="398" t="str">
        <v xml:space="preserve"> </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3">
      <c r="A325" s="398" t="str">
        <v xml:space="preserve"> </v>
      </c>
      <c r="C325" s="642" t="s">
        <v>183</v>
      </c>
      <c r="D325" s="643"/>
      <c r="F325" s="642" t="s">
        <v>183</v>
      </c>
      <c r="G325" s="643"/>
      <c r="H325" s="472"/>
      <c r="I325" s="644" t="s">
        <v>183</v>
      </c>
      <c r="J325" s="645"/>
      <c r="K325" s="472"/>
      <c r="L325" s="642" t="s">
        <v>183</v>
      </c>
      <c r="M325" s="643"/>
      <c r="O325" s="642" t="str">
        <f>A153</f>
        <v>p29-1G 56F120</v>
      </c>
      <c r="P325" s="643"/>
      <c r="R325" s="642" t="s">
        <v>183</v>
      </c>
      <c r="S325" s="643"/>
    </row>
    <row r="326" spans="1:19" x14ac:dyDescent="0.3">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3">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3">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3">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3">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3">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3">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3">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3">
      <c r="A334" s="398" t="str">
        <v>Isard</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3">
      <c r="A335" s="398" t="str">
        <v>Chamois</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3">
      <c r="A336" s="398" t="str">
        <v>Pro54-5G WT</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3">
      <c r="A337" s="398" t="str">
        <v>Pro98-6G Green</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3">
      <c r="A338" s="398" t="str">
        <v>Pro98-3G WT</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3">
      <c r="A339" s="398" t="str">
        <v>Aucun (2e ét. inerte)</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3">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3">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3">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3">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3">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3">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3">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sheetProtection algorithmName="SHA-512" hashValue="TT52kldpbNfsZI03mY8g5TIIsjEeL9Q9TBJMBYh4cROlVUm3NqAv8usVb5XJtvE8tyHIClwYMgtE2emaKO5x7A==" saltValue="IfNq7E35bfDyzUo3UGtZTg==" spinCount="100000" sheet="1" objects="1" scenarios="1"/>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AL41" sqref="AL41"/>
    </sheetView>
  </sheetViews>
  <sheetFormatPr defaultColWidth="11.61328125" defaultRowHeight="12.45" x14ac:dyDescent="0.3"/>
  <cols>
    <col min="1" max="1" width="4.61328125" style="7" bestFit="1" customWidth="1"/>
    <col min="2" max="2" width="6" style="7" bestFit="1" customWidth="1"/>
    <col min="3" max="3" width="1.3828125" style="8" customWidth="1"/>
    <col min="4" max="4" width="7.15234375" style="7" customWidth="1"/>
    <col min="5" max="6" width="7.3828125" style="7" customWidth="1"/>
    <col min="7" max="7" width="7.15234375" style="7" customWidth="1"/>
    <col min="8" max="8" width="7.3828125" style="7" customWidth="1"/>
    <col min="9" max="9" width="7.15234375" style="7" customWidth="1"/>
    <col min="10" max="12" width="7.61328125" style="7" bestFit="1" customWidth="1"/>
    <col min="13" max="13" width="5.84375" style="7" customWidth="1"/>
    <col min="14" max="14" width="6.3828125" style="7" customWidth="1"/>
    <col min="15" max="15" width="1.3828125" style="8" customWidth="1"/>
    <col min="16" max="16" width="4" style="7" customWidth="1"/>
    <col min="17" max="17" width="8.61328125" style="7" customWidth="1"/>
    <col min="18" max="18" width="5.84375" style="7" customWidth="1"/>
    <col min="19" max="19" width="5.15234375" style="7" customWidth="1"/>
    <col min="20" max="20" width="6" style="7" customWidth="1"/>
    <col min="21" max="21" width="8.84375" style="7" customWidth="1"/>
    <col min="22" max="22" width="6.84375" style="7" customWidth="1"/>
    <col min="23" max="23" width="7.15234375" style="7" customWidth="1"/>
    <col min="24" max="24" width="1.3828125" style="8" customWidth="1"/>
    <col min="25" max="25" width="15.84375" style="7" customWidth="1"/>
    <col min="26" max="26" width="5.84375" style="7" customWidth="1"/>
    <col min="27" max="27" width="7.84375" style="7" customWidth="1"/>
    <col min="28" max="28" width="1.61328125" style="7" customWidth="1"/>
    <col min="29" max="29" width="7.15234375" style="7" bestFit="1" customWidth="1"/>
    <col min="30" max="31" width="6.84375" style="7" bestFit="1" customWidth="1"/>
    <col min="32" max="32" width="1.84375" style="7" customWidth="1"/>
    <col min="33" max="238" width="11.3828125" style="7" customWidth="1"/>
    <col min="239" max="239" width="11" style="7" customWidth="1"/>
  </cols>
  <sheetData>
    <row r="1" spans="1:248" ht="12.9" thickBot="1" x14ac:dyDescent="0.3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3">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3">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3">
      <c r="A4" s="292" t="s">
        <v>14</v>
      </c>
      <c r="B4" s="349">
        <f>T_ini</f>
        <v>0</v>
      </c>
      <c r="D4" s="292" t="s">
        <v>14</v>
      </c>
      <c r="E4" s="293" t="s">
        <v>14</v>
      </c>
      <c r="F4" s="294" t="s">
        <v>14</v>
      </c>
      <c r="G4" s="292">
        <f>vit_xz*COS(Beta)</f>
        <v>0</v>
      </c>
      <c r="H4" s="293">
        <f>vit_xz*SIN(Beta)</f>
        <v>0</v>
      </c>
      <c r="I4" s="349">
        <f>V_ini</f>
        <v>0</v>
      </c>
      <c r="J4" s="350">
        <f>X_ini</f>
        <v>0</v>
      </c>
      <c r="K4" s="351">
        <f>Z_ini</f>
        <v>0</v>
      </c>
      <c r="L4" s="327">
        <f t="shared" ref="L4:L67" si="0">SQRT(pos_x^2+pos_z^2)</f>
        <v>0</v>
      </c>
      <c r="M4" s="292">
        <f>RADIANS(N4)</f>
        <v>1.3962634015954636</v>
      </c>
      <c r="N4" s="349">
        <f>Beta_rampe</f>
        <v>80</v>
      </c>
      <c r="P4" s="292" t="s">
        <v>14</v>
      </c>
      <c r="Q4" s="294" t="s">
        <v>14</v>
      </c>
      <c r="R4" s="292" t="s">
        <v>14</v>
      </c>
      <c r="S4" s="351">
        <f ca="1">m_tot</f>
        <v>9.032</v>
      </c>
      <c r="T4" s="327">
        <f t="shared" ref="T4:T67" ca="1" si="1">m*g</f>
        <v>88.603920000000002</v>
      </c>
      <c r="U4" s="328">
        <f t="shared" ref="U4:U67" ca="1" si="2">IF(pos_xz&lt;L_rampe,Poids*COS(Beta),0)</f>
        <v>15.385909242146489</v>
      </c>
      <c r="V4" s="329">
        <f t="shared" ref="V4:V67" si="3">Rho_moyen*(20000-Alt_rampe-pos_z)/(20000+Alt_rampe+pos_z)</f>
        <v>1.2250000000000001</v>
      </c>
      <c r="W4" s="327">
        <f t="shared" ref="W4:W67" si="4">1/2*Rho*Sref*Cx*vit_xz^2</f>
        <v>0</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3">
      <c r="A5" s="347">
        <f t="shared" ref="A5:A68" ca="1" si="6">IF(B4+0.01&lt;=T_ini+ROUNDUP(Temps_fin_propu,0), 0.01, IF(K4&gt;0, 0.1, 0.0001))</f>
        <v>0.01</v>
      </c>
      <c r="B5" s="304">
        <f t="shared" ref="B5:B68" ca="1" si="7">B4+pas</f>
        <v>0.01</v>
      </c>
      <c r="D5" s="306">
        <f t="shared" ref="D5:D68" ca="1" si="8">IF(AND(L4&lt;L_rampe,Poussee&lt;Poids*SIN(M4)),0,(-W4+Poussee)/m*COS(M4)-U4/m*SIN(M4))</f>
        <v>3.0547708011411387</v>
      </c>
      <c r="E5" s="307">
        <f t="shared" ref="E5:E68" ca="1" si="9">IF(AND(L4&lt;L_rampe,Poussee&lt;Poids*SIN(M4)),0,(-W4+Poussee)/m*SIN(M4)+U4/m*COS(M4)-Poids/m)</f>
        <v>17.325780007209694</v>
      </c>
      <c r="F5" s="304">
        <f t="shared" ref="F5:F68" ca="1" si="10">SQRT(acc_x^2+acc_z^2)</f>
        <v>17.593017862371756</v>
      </c>
      <c r="G5" s="306">
        <f t="shared" ref="G5:G68" ca="1" si="11">G4+acc_x*pas</f>
        <v>3.0547708011411389E-2</v>
      </c>
      <c r="H5" s="307">
        <f t="shared" ref="H5:H68" ca="1" si="12">H4+acc_z*pas</f>
        <v>0.17325780007209696</v>
      </c>
      <c r="I5" s="304">
        <f t="shared" ref="I5:I68" ca="1" si="13">SQRT(vit_x^2+vit_z^2)</f>
        <v>0.17593017862371757</v>
      </c>
      <c r="J5" s="306">
        <f t="shared" ref="J5:J68" ca="1" si="14">J4+0.5*(vit_x+G4)*pas*(K4&gt;=0)</f>
        <v>1.5273854005705694E-4</v>
      </c>
      <c r="K5" s="307">
        <f t="shared" ref="K5:K68" ca="1" si="15">K4+0.5*(vit_z+H4)*pas</f>
        <v>8.6628900036048477E-4</v>
      </c>
      <c r="L5" s="304">
        <f t="shared" ca="1" si="0"/>
        <v>8.7965089311858782E-4</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9.0307904636118064</v>
      </c>
      <c r="T5" s="304">
        <f t="shared" ca="1" si="1"/>
        <v>88.592054448031831</v>
      </c>
      <c r="U5" s="311">
        <f t="shared" ca="1" si="2"/>
        <v>15.383848810670205</v>
      </c>
      <c r="V5" s="306">
        <f t="shared" ca="1" si="3"/>
        <v>1.2249998938796021</v>
      </c>
      <c r="W5" s="304">
        <f t="shared" ca="1" si="4"/>
        <v>1.1781457609435582E-4</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8.6628900036048477E-4</v>
      </c>
      <c r="AG5" s="306">
        <f t="shared" ref="AG5:AG68" ca="1" si="27">IF(AND(L4&lt;L_rampe,Poussee&lt;Poids*SIN(M4)),0,(-W4+Poussee)/m-Poids*SIN(M4)/m)</f>
        <v>17.593017860892324</v>
      </c>
      <c r="AH5" s="304">
        <f t="shared" ref="AH5:AH68" ca="1" si="28">IF(AND(L4&lt;L_rampe,Poussee&lt;Poids*SIN(M4)), g*SIN(M4), (-W4+Poussee)/m)</f>
        <v>27.253981917942085</v>
      </c>
    </row>
    <row r="6" spans="1:248" x14ac:dyDescent="0.3">
      <c r="A6" s="347">
        <f t="shared" ca="1" si="6"/>
        <v>0.01</v>
      </c>
      <c r="B6" s="304">
        <f t="shared" ca="1" si="7"/>
        <v>0.02</v>
      </c>
      <c r="D6" s="306">
        <f t="shared" ca="1" si="8"/>
        <v>16.229516471828457</v>
      </c>
      <c r="E6" s="307">
        <f t="shared" ca="1" si="9"/>
        <v>92.047133449287159</v>
      </c>
      <c r="F6" s="304">
        <f t="shared" ca="1" si="10"/>
        <v>93.466956627142991</v>
      </c>
      <c r="G6" s="306">
        <f t="shared" ca="1" si="11"/>
        <v>0.19284287272969597</v>
      </c>
      <c r="H6" s="307">
        <f t="shared" ca="1" si="12"/>
        <v>1.0937291345649687</v>
      </c>
      <c r="I6" s="304">
        <f t="shared" ca="1" si="13"/>
        <v>1.1105997448941167</v>
      </c>
      <c r="J6" s="306">
        <f t="shared" ca="1" si="14"/>
        <v>1.2696914437625936E-3</v>
      </c>
      <c r="K6" s="307">
        <f t="shared" ca="1" si="15"/>
        <v>7.2012236735458125E-3</v>
      </c>
      <c r="L6" s="304">
        <f t="shared" ca="1" si="0"/>
        <v>7.3123005107011696E-3</v>
      </c>
      <c r="M6" s="306">
        <f t="shared" ca="1" si="16"/>
        <v>1.3962634015954636</v>
      </c>
      <c r="N6" s="304">
        <f t="shared" ca="1" si="17"/>
        <v>80</v>
      </c>
      <c r="P6" s="310">
        <f t="shared" ca="1" si="18"/>
        <v>2</v>
      </c>
      <c r="Q6" s="304">
        <f t="shared" ca="1" si="19"/>
        <v>930.85500000000002</v>
      </c>
      <c r="R6" s="306">
        <f t="shared" ca="1" si="20"/>
        <v>0.45745169919032375</v>
      </c>
      <c r="S6" s="307">
        <f t="shared" ca="1" si="21"/>
        <v>9.026215946619903</v>
      </c>
      <c r="T6" s="304">
        <f t="shared" ca="1" si="1"/>
        <v>88.547178436341255</v>
      </c>
      <c r="U6" s="311">
        <f t="shared" ca="1" si="2"/>
        <v>15.376056173019176</v>
      </c>
      <c r="V6" s="306">
        <f t="shared" ca="1" si="3"/>
        <v>1.2249991178504176</v>
      </c>
      <c r="W6" s="304">
        <f t="shared" ca="1" si="4"/>
        <v>4.6949741055588023E-3</v>
      </c>
      <c r="Y6" s="314" t="str">
        <f t="shared" ca="1" si="22"/>
        <v/>
      </c>
      <c r="Z6" s="315" t="str">
        <f t="shared" ca="1" si="23"/>
        <v/>
      </c>
      <c r="AA6" s="316" t="str">
        <f t="shared" ca="1" si="24"/>
        <v/>
      </c>
      <c r="AC6" s="310" t="e">
        <f t="shared" ca="1" si="25"/>
        <v>#N/A</v>
      </c>
      <c r="AD6" s="323" t="e">
        <f t="shared" ca="1" si="26"/>
        <v>#N/A</v>
      </c>
      <c r="AE6" s="324">
        <f t="shared" ca="1" si="5"/>
        <v>7.2012236735458125E-3</v>
      </c>
      <c r="AG6" s="306">
        <f t="shared" ca="1" si="27"/>
        <v>93.466956623155795</v>
      </c>
      <c r="AH6" s="304">
        <f t="shared" ca="1" si="28"/>
        <v>103.12792068020556</v>
      </c>
    </row>
    <row r="7" spans="1:248" x14ac:dyDescent="0.3">
      <c r="A7" s="347">
        <f t="shared" ca="1" si="6"/>
        <v>0.01</v>
      </c>
      <c r="B7" s="304">
        <f t="shared" ca="1" si="7"/>
        <v>0.03</v>
      </c>
      <c r="D7" s="306">
        <f t="shared" ca="1" si="8"/>
        <v>24.258154264382473</v>
      </c>
      <c r="E7" s="307">
        <f t="shared" ca="1" si="9"/>
        <v>137.58203009688512</v>
      </c>
      <c r="F7" s="304">
        <f t="shared" ca="1" si="10"/>
        <v>139.70423420174058</v>
      </c>
      <c r="G7" s="306">
        <f t="shared" ca="1" si="11"/>
        <v>0.43542441537352072</v>
      </c>
      <c r="H7" s="307">
        <f t="shared" ca="1" si="12"/>
        <v>2.4695494355338199</v>
      </c>
      <c r="I7" s="304">
        <f t="shared" ca="1" si="13"/>
        <v>2.5076420869112841</v>
      </c>
      <c r="J7" s="306">
        <f t="shared" ca="1" si="14"/>
        <v>4.4110278842786777E-3</v>
      </c>
      <c r="K7" s="307">
        <f t="shared" ca="1" si="15"/>
        <v>2.5017616524039755E-2</v>
      </c>
      <c r="L7" s="304">
        <f t="shared" ca="1" si="0"/>
        <v>2.5403509669724596E-2</v>
      </c>
      <c r="M7" s="306">
        <f t="shared" ca="1" si="16"/>
        <v>1.3962634015954636</v>
      </c>
      <c r="N7" s="304">
        <f t="shared" ca="1" si="17"/>
        <v>80</v>
      </c>
      <c r="P7" s="310">
        <f t="shared" ca="1" si="18"/>
        <v>3</v>
      </c>
      <c r="Q7" s="304">
        <f t="shared" ca="1" si="19"/>
        <v>1347.2183333333335</v>
      </c>
      <c r="R7" s="306">
        <f t="shared" ca="1" si="20"/>
        <v>0.66206585962764264</v>
      </c>
      <c r="S7" s="307">
        <f t="shared" ca="1" si="21"/>
        <v>9.019595288023627</v>
      </c>
      <c r="T7" s="304">
        <f t="shared" ca="1" si="1"/>
        <v>88.482229775511783</v>
      </c>
      <c r="U7" s="311">
        <f t="shared" ca="1" si="2"/>
        <v>15.364777956424231</v>
      </c>
      <c r="V7" s="306">
        <f t="shared" ca="1" si="3"/>
        <v>1.2249969353458092</v>
      </c>
      <c r="W7" s="304">
        <f t="shared" ca="1" si="4"/>
        <v>2.3935824350604814E-2</v>
      </c>
      <c r="Y7" s="314" t="str">
        <f t="shared" ca="1" si="22"/>
        <v/>
      </c>
      <c r="Z7" s="315" t="str">
        <f t="shared" ca="1" si="23"/>
        <v/>
      </c>
      <c r="AA7" s="316" t="str">
        <f t="shared" ca="1" si="24"/>
        <v/>
      </c>
      <c r="AC7" s="310" t="e">
        <f t="shared" ca="1" si="25"/>
        <v>#N/A</v>
      </c>
      <c r="AD7" s="323" t="e">
        <f t="shared" ca="1" si="26"/>
        <v>#N/A</v>
      </c>
      <c r="AE7" s="324">
        <f t="shared" ca="1" si="5"/>
        <v>2.5017616524039755E-2</v>
      </c>
      <c r="AG7" s="306">
        <f t="shared" ca="1" si="27"/>
        <v>139.70423419614471</v>
      </c>
      <c r="AH7" s="304">
        <f t="shared" ca="1" si="28"/>
        <v>149.36519825319448</v>
      </c>
    </row>
    <row r="8" spans="1:248" x14ac:dyDescent="0.3">
      <c r="A8" s="347">
        <f t="shared" ca="1" si="6"/>
        <v>0.01</v>
      </c>
      <c r="B8" s="304">
        <f t="shared" ca="1" si="7"/>
        <v>0.04</v>
      </c>
      <c r="D8" s="306">
        <f t="shared" ca="1" si="8"/>
        <v>23.419230495845099</v>
      </c>
      <c r="E8" s="307">
        <f t="shared" ca="1" si="9"/>
        <v>132.8240241641704</v>
      </c>
      <c r="F8" s="304">
        <f t="shared" ca="1" si="10"/>
        <v>134.87283548654875</v>
      </c>
      <c r="G8" s="306">
        <f t="shared" ca="1" si="11"/>
        <v>0.66961672033197173</v>
      </c>
      <c r="H8" s="307">
        <f t="shared" ca="1" si="12"/>
        <v>3.797789677175524</v>
      </c>
      <c r="I8" s="304">
        <f t="shared" ca="1" si="13"/>
        <v>3.8563704417767122</v>
      </c>
      <c r="J8" s="306">
        <f t="shared" ca="1" si="14"/>
        <v>9.9362335628061411E-3</v>
      </c>
      <c r="K8" s="307">
        <f t="shared" ca="1" si="15"/>
        <v>5.6354312087586476E-2</v>
      </c>
      <c r="L8" s="304">
        <f t="shared" ca="1" si="0"/>
        <v>5.7223572313162434E-2</v>
      </c>
      <c r="M8" s="306">
        <f t="shared" ca="1" si="16"/>
        <v>1.3962634015954636</v>
      </c>
      <c r="N8" s="304">
        <f t="shared" ca="1" si="17"/>
        <v>80</v>
      </c>
      <c r="P8" s="310">
        <f t="shared" ca="1" si="18"/>
        <v>3</v>
      </c>
      <c r="Q8" s="304">
        <f t="shared" ca="1" si="19"/>
        <v>1302.7349999999999</v>
      </c>
      <c r="R8" s="306">
        <f t="shared" ca="1" si="20"/>
        <v>0.64020533739917207</v>
      </c>
      <c r="S8" s="307">
        <f t="shared" ca="1" si="21"/>
        <v>9.013193234649636</v>
      </c>
      <c r="T8" s="304">
        <f t="shared" ca="1" si="1"/>
        <v>88.419425631912929</v>
      </c>
      <c r="U8" s="311">
        <f t="shared" ca="1" si="2"/>
        <v>15.353872131338358</v>
      </c>
      <c r="V8" s="306">
        <f t="shared" ca="1" si="3"/>
        <v>1.224993096616221</v>
      </c>
      <c r="W8" s="304">
        <f t="shared" ca="1" si="4"/>
        <v>5.6607427464264032E-2</v>
      </c>
      <c r="Y8" s="314" t="str">
        <f t="shared" ca="1" si="22"/>
        <v/>
      </c>
      <c r="Z8" s="315" t="str">
        <f t="shared" ca="1" si="23"/>
        <v/>
      </c>
      <c r="AA8" s="316" t="str">
        <f t="shared" ca="1" si="24"/>
        <v/>
      </c>
      <c r="AC8" s="310" t="e">
        <f t="shared" ca="1" si="25"/>
        <v>#N/A</v>
      </c>
      <c r="AD8" s="323" t="e">
        <f t="shared" ca="1" si="26"/>
        <v>#N/A</v>
      </c>
      <c r="AE8" s="324">
        <f t="shared" ca="1" si="5"/>
        <v>5.6354312087586476E-2</v>
      </c>
      <c r="AG8" s="306">
        <f t="shared" ca="1" si="27"/>
        <v>134.8728354811212</v>
      </c>
      <c r="AH8" s="304">
        <f t="shared" ca="1" si="28"/>
        <v>144.53379953817097</v>
      </c>
    </row>
    <row r="9" spans="1:248" x14ac:dyDescent="0.3">
      <c r="A9" s="347">
        <f t="shared" ca="1" si="6"/>
        <v>0.01</v>
      </c>
      <c r="B9" s="304">
        <f t="shared" ca="1" si="7"/>
        <v>0.05</v>
      </c>
      <c r="D9" s="306">
        <f t="shared" ca="1" si="8"/>
        <v>22.578266449490961</v>
      </c>
      <c r="E9" s="307">
        <f t="shared" ca="1" si="9"/>
        <v>128.0544467465345</v>
      </c>
      <c r="F9" s="304">
        <f t="shared" ca="1" si="10"/>
        <v>130.02968679276765</v>
      </c>
      <c r="G9" s="306">
        <f t="shared" ca="1" si="11"/>
        <v>0.89539938482688131</v>
      </c>
      <c r="H9" s="307">
        <f t="shared" ca="1" si="12"/>
        <v>5.078334144640869</v>
      </c>
      <c r="I9" s="304">
        <f t="shared" ca="1" si="13"/>
        <v>5.1566673097043658</v>
      </c>
      <c r="J9" s="306">
        <f t="shared" ca="1" si="14"/>
        <v>1.7761314088600405E-2</v>
      </c>
      <c r="K9" s="307">
        <f t="shared" ca="1" si="15"/>
        <v>0.10073493119666843</v>
      </c>
      <c r="L9" s="304">
        <f t="shared" ca="1" si="0"/>
        <v>0.10228876107056649</v>
      </c>
      <c r="M9" s="306">
        <f t="shared" ca="1" si="16"/>
        <v>1.3962634015954636</v>
      </c>
      <c r="N9" s="304">
        <f t="shared" ca="1" si="17"/>
        <v>80</v>
      </c>
      <c r="P9" s="310">
        <f t="shared" ca="1" si="18"/>
        <v>3</v>
      </c>
      <c r="Q9" s="304">
        <f t="shared" ca="1" si="19"/>
        <v>1258.2516666666666</v>
      </c>
      <c r="R9" s="306">
        <f t="shared" ca="1" si="20"/>
        <v>0.61834481517070161</v>
      </c>
      <c r="S9" s="307">
        <f t="shared" ca="1" si="21"/>
        <v>9.0070097864979282</v>
      </c>
      <c r="T9" s="304">
        <f t="shared" ca="1" si="1"/>
        <v>88.35876600554468</v>
      </c>
      <c r="U9" s="311">
        <f t="shared" ca="1" si="2"/>
        <v>15.343338697761554</v>
      </c>
      <c r="V9" s="306">
        <f t="shared" ca="1" si="3"/>
        <v>1.224987660033082</v>
      </c>
      <c r="W9" s="304">
        <f t="shared" ca="1" si="4"/>
        <v>0.10121671234184393</v>
      </c>
      <c r="Y9" s="314" t="str">
        <f t="shared" ca="1" si="22"/>
        <v/>
      </c>
      <c r="Z9" s="315" t="str">
        <f t="shared" ca="1" si="23"/>
        <v/>
      </c>
      <c r="AA9" s="316" t="str">
        <f t="shared" ca="1" si="24"/>
        <v/>
      </c>
      <c r="AC9" s="310" t="e">
        <f t="shared" ca="1" si="25"/>
        <v>#N/A</v>
      </c>
      <c r="AD9" s="323" t="e">
        <f t="shared" ca="1" si="26"/>
        <v>#N/A</v>
      </c>
      <c r="AE9" s="324">
        <f t="shared" ca="1" si="5"/>
        <v>0.10073493119666843</v>
      </c>
      <c r="AG9" s="306">
        <f t="shared" ca="1" si="27"/>
        <v>130.02968678750858</v>
      </c>
      <c r="AH9" s="304">
        <f t="shared" ca="1" si="28"/>
        <v>139.69065084455835</v>
      </c>
    </row>
    <row r="10" spans="1:248" x14ac:dyDescent="0.3">
      <c r="A10" s="347">
        <f t="shared" ca="1" si="6"/>
        <v>0.01</v>
      </c>
      <c r="B10" s="304">
        <f t="shared" ca="1" si="7"/>
        <v>6.0000000000000005E-2</v>
      </c>
      <c r="D10" s="306">
        <f t="shared" ca="1" si="8"/>
        <v>22.248600281057151</v>
      </c>
      <c r="E10" s="307">
        <f t="shared" ca="1" si="9"/>
        <v>126.1847257094642</v>
      </c>
      <c r="F10" s="304">
        <f t="shared" ca="1" si="10"/>
        <v>128.13112509003801</v>
      </c>
      <c r="G10" s="306">
        <f t="shared" ca="1" si="11"/>
        <v>1.1178853876374528</v>
      </c>
      <c r="H10" s="307">
        <f t="shared" ca="1" si="12"/>
        <v>6.3401814017355109</v>
      </c>
      <c r="I10" s="304">
        <f t="shared" ca="1" si="13"/>
        <v>6.4379785606047344</v>
      </c>
      <c r="J10" s="306">
        <f t="shared" ca="1" si="14"/>
        <v>2.7827737950922075E-2</v>
      </c>
      <c r="K10" s="307">
        <f t="shared" ca="1" si="15"/>
        <v>0.15782750892855033</v>
      </c>
      <c r="L10" s="304">
        <f t="shared" ca="1" si="0"/>
        <v>0.16026199042211106</v>
      </c>
      <c r="M10" s="306">
        <f t="shared" ca="1" si="16"/>
        <v>1.3962634015954636</v>
      </c>
      <c r="N10" s="304">
        <f t="shared" ca="1" si="17"/>
        <v>80</v>
      </c>
      <c r="P10" s="310">
        <f t="shared" ca="1" si="18"/>
        <v>4</v>
      </c>
      <c r="Q10" s="304">
        <f t="shared" ca="1" si="19"/>
        <v>1240.356</v>
      </c>
      <c r="R10" s="306">
        <f t="shared" ca="1" si="20"/>
        <v>0.60955031643050006</v>
      </c>
      <c r="S10" s="307">
        <f t="shared" ca="1" si="21"/>
        <v>9.0009142833336231</v>
      </c>
      <c r="T10" s="304">
        <f t="shared" ca="1" si="1"/>
        <v>88.298969119502843</v>
      </c>
      <c r="U10" s="311">
        <f t="shared" ca="1" si="2"/>
        <v>15.332955077470231</v>
      </c>
      <c r="V10" s="306">
        <f t="shared" ca="1" si="3"/>
        <v>1.2249806662827261</v>
      </c>
      <c r="W10" s="304">
        <f t="shared" ca="1" si="4"/>
        <v>0.15776496779341012</v>
      </c>
      <c r="Y10" s="314" t="str">
        <f t="shared" ca="1" si="22"/>
        <v/>
      </c>
      <c r="Z10" s="315" t="str">
        <f t="shared" ca="1" si="23"/>
        <v/>
      </c>
      <c r="AA10" s="316" t="str">
        <f t="shared" ca="1" si="24"/>
        <v/>
      </c>
      <c r="AC10" s="310" t="e">
        <f t="shared" ca="1" si="25"/>
        <v>#N/A</v>
      </c>
      <c r="AD10" s="323" t="e">
        <f t="shared" ca="1" si="26"/>
        <v>#N/A</v>
      </c>
      <c r="AE10" s="324">
        <f t="shared" ca="1" si="5"/>
        <v>0.15782750892855033</v>
      </c>
      <c r="AG10" s="306">
        <f t="shared" ca="1" si="27"/>
        <v>128.13112508484477</v>
      </c>
      <c r="AH10" s="304">
        <f t="shared" ca="1" si="28"/>
        <v>137.79208914189454</v>
      </c>
    </row>
    <row r="11" spans="1:248" x14ac:dyDescent="0.3">
      <c r="A11" s="347">
        <f t="shared" ca="1" si="6"/>
        <v>0.01</v>
      </c>
      <c r="B11" s="304">
        <f t="shared" ca="1" si="7"/>
        <v>7.0000000000000007E-2</v>
      </c>
      <c r="D11" s="306">
        <f t="shared" ca="1" si="8"/>
        <v>22.431631307570505</v>
      </c>
      <c r="E11" s="307">
        <f t="shared" ca="1" si="9"/>
        <v>127.22279736282329</v>
      </c>
      <c r="F11" s="304">
        <f t="shared" ca="1" si="10"/>
        <v>129.18520910669602</v>
      </c>
      <c r="G11" s="306">
        <f t="shared" ca="1" si="11"/>
        <v>1.3422017007131579</v>
      </c>
      <c r="H11" s="307">
        <f t="shared" ca="1" si="12"/>
        <v>7.6124093753637441</v>
      </c>
      <c r="I11" s="304">
        <f t="shared" ca="1" si="13"/>
        <v>7.7298306516716861</v>
      </c>
      <c r="J11" s="306">
        <f t="shared" ca="1" si="14"/>
        <v>4.0128173392675132E-2</v>
      </c>
      <c r="K11" s="307">
        <f t="shared" ca="1" si="15"/>
        <v>0.2275904628140466</v>
      </c>
      <c r="L11" s="304">
        <f t="shared" ca="1" si="0"/>
        <v>0.23110103648349251</v>
      </c>
      <c r="M11" s="306">
        <f t="shared" ca="1" si="16"/>
        <v>1.3962634015954636</v>
      </c>
      <c r="N11" s="304">
        <f t="shared" ca="1" si="17"/>
        <v>80</v>
      </c>
      <c r="P11" s="310">
        <f t="shared" ca="1" si="18"/>
        <v>4</v>
      </c>
      <c r="Q11" s="304">
        <f t="shared" ca="1" si="19"/>
        <v>1249.048</v>
      </c>
      <c r="R11" s="306">
        <f t="shared" ca="1" si="20"/>
        <v>0.61382184117856753</v>
      </c>
      <c r="S11" s="307">
        <f t="shared" ca="1" si="21"/>
        <v>8.9947760649218367</v>
      </c>
      <c r="T11" s="304">
        <f t="shared" ca="1" si="1"/>
        <v>88.238753196883223</v>
      </c>
      <c r="U11" s="311">
        <f t="shared" ca="1" si="2"/>
        <v>15.322498692240803</v>
      </c>
      <c r="V11" s="306">
        <f t="shared" ca="1" si="3"/>
        <v>1.2249721204855608</v>
      </c>
      <c r="W11" s="304">
        <f t="shared" ca="1" si="4"/>
        <v>0.22743036576781087</v>
      </c>
      <c r="Y11" s="314" t="str">
        <f t="shared" ca="1" si="22"/>
        <v/>
      </c>
      <c r="Z11" s="315" t="str">
        <f t="shared" ca="1" si="23"/>
        <v/>
      </c>
      <c r="AA11" s="316" t="str">
        <f t="shared" ca="1" si="24"/>
        <v/>
      </c>
      <c r="AC11" s="310" t="e">
        <f t="shared" ca="1" si="25"/>
        <v>#N/A</v>
      </c>
      <c r="AD11" s="323" t="e">
        <f t="shared" ca="1" si="26"/>
        <v>#N/A</v>
      </c>
      <c r="AE11" s="324">
        <f t="shared" ca="1" si="5"/>
        <v>0.2275904628140466</v>
      </c>
      <c r="AG11" s="306">
        <f t="shared" ca="1" si="27"/>
        <v>129.18520910146557</v>
      </c>
      <c r="AH11" s="304">
        <f t="shared" ca="1" si="28"/>
        <v>138.84617315851534</v>
      </c>
    </row>
    <row r="12" spans="1:248" x14ac:dyDescent="0.3">
      <c r="A12" s="347">
        <f t="shared" ca="1" si="6"/>
        <v>0.01</v>
      </c>
      <c r="B12" s="304">
        <f t="shared" ca="1" si="7"/>
        <v>0.08</v>
      </c>
      <c r="D12" s="306">
        <f t="shared" ca="1" si="8"/>
        <v>22.614774348397251</v>
      </c>
      <c r="E12" s="307">
        <f t="shared" ca="1" si="9"/>
        <v>128.26150438279697</v>
      </c>
      <c r="F12" s="304">
        <f t="shared" ca="1" si="10"/>
        <v>130.23993828840358</v>
      </c>
      <c r="G12" s="306">
        <f t="shared" ca="1" si="11"/>
        <v>1.5683494441971304</v>
      </c>
      <c r="H12" s="307">
        <f t="shared" ca="1" si="12"/>
        <v>8.8950244191917136</v>
      </c>
      <c r="I12" s="304">
        <f t="shared" ca="1" si="13"/>
        <v>9.0322300345557149</v>
      </c>
      <c r="J12" s="306">
        <f t="shared" ca="1" si="14"/>
        <v>5.4680929117226572E-2</v>
      </c>
      <c r="K12" s="307">
        <f t="shared" ca="1" si="15"/>
        <v>0.3101276317868239</v>
      </c>
      <c r="L12" s="304">
        <f t="shared" ca="1" si="0"/>
        <v>0.31491133991462894</v>
      </c>
      <c r="M12" s="306">
        <f t="shared" ca="1" si="16"/>
        <v>1.3962634015954636</v>
      </c>
      <c r="N12" s="304">
        <f t="shared" ca="1" si="17"/>
        <v>80</v>
      </c>
      <c r="P12" s="310">
        <f t="shared" ca="1" si="18"/>
        <v>4</v>
      </c>
      <c r="Q12" s="304">
        <f t="shared" ca="1" si="19"/>
        <v>1257.74</v>
      </c>
      <c r="R12" s="306">
        <f t="shared" ca="1" si="20"/>
        <v>0.61809336592663489</v>
      </c>
      <c r="S12" s="307">
        <f t="shared" ca="1" si="21"/>
        <v>8.9885951312625707</v>
      </c>
      <c r="T12" s="304">
        <f t="shared" ca="1" si="1"/>
        <v>88.178118237685823</v>
      </c>
      <c r="U12" s="311">
        <f t="shared" ca="1" si="2"/>
        <v>15.311969542073264</v>
      </c>
      <c r="V12" s="306">
        <f t="shared" ca="1" si="3"/>
        <v>1.2249620099541945</v>
      </c>
      <c r="W12" s="304">
        <f t="shared" ca="1" si="4"/>
        <v>0.31052379570152477</v>
      </c>
      <c r="Y12" s="314" t="str">
        <f t="shared" ca="1" si="22"/>
        <v/>
      </c>
      <c r="Z12" s="315" t="str">
        <f t="shared" ca="1" si="23"/>
        <v/>
      </c>
      <c r="AA12" s="316" t="str">
        <f t="shared" ca="1" si="24"/>
        <v/>
      </c>
      <c r="AC12" s="310" t="e">
        <f t="shared" ca="1" si="25"/>
        <v>#N/A</v>
      </c>
      <c r="AD12" s="323" t="e">
        <f t="shared" ca="1" si="26"/>
        <v>#N/A</v>
      </c>
      <c r="AE12" s="324">
        <f t="shared" ca="1" si="5"/>
        <v>0.3101276317868239</v>
      </c>
      <c r="AG12" s="306">
        <f t="shared" ca="1" si="27"/>
        <v>130.23993828313579</v>
      </c>
      <c r="AH12" s="304">
        <f t="shared" ca="1" si="28"/>
        <v>139.90090234018555</v>
      </c>
    </row>
    <row r="13" spans="1:248" x14ac:dyDescent="0.3">
      <c r="A13" s="347">
        <f t="shared" ca="1" si="6"/>
        <v>0.01</v>
      </c>
      <c r="B13" s="304">
        <f t="shared" ca="1" si="7"/>
        <v>0.09</v>
      </c>
      <c r="D13" s="306">
        <f t="shared" ca="1" si="8"/>
        <v>22.798026237410919</v>
      </c>
      <c r="E13" s="307">
        <f t="shared" ca="1" si="9"/>
        <v>129.30082881433077</v>
      </c>
      <c r="F13" s="304">
        <f t="shared" ca="1" si="10"/>
        <v>131.29529440309179</v>
      </c>
      <c r="G13" s="306">
        <f t="shared" ca="1" si="11"/>
        <v>1.7963297065712396</v>
      </c>
      <c r="H13" s="307">
        <f t="shared" ca="1" si="12"/>
        <v>10.188032707335022</v>
      </c>
      <c r="I13" s="304">
        <f t="shared" ca="1" si="13"/>
        <v>10.345182978586628</v>
      </c>
      <c r="J13" s="306">
        <f t="shared" ca="1" si="14"/>
        <v>7.150432487106842E-2</v>
      </c>
      <c r="K13" s="307">
        <f t="shared" ca="1" si="15"/>
        <v>0.40554291741945758</v>
      </c>
      <c r="L13" s="304">
        <f t="shared" ca="1" si="0"/>
        <v>0.4117984049803402</v>
      </c>
      <c r="M13" s="306">
        <f t="shared" ca="1" si="16"/>
        <v>1.3962634015954636</v>
      </c>
      <c r="N13" s="304">
        <f t="shared" ca="1" si="17"/>
        <v>80</v>
      </c>
      <c r="P13" s="310">
        <f t="shared" ca="1" si="18"/>
        <v>4</v>
      </c>
      <c r="Q13" s="304">
        <f t="shared" ca="1" si="19"/>
        <v>1266.432</v>
      </c>
      <c r="R13" s="306">
        <f t="shared" ca="1" si="20"/>
        <v>0.62236489067470235</v>
      </c>
      <c r="S13" s="307">
        <f t="shared" ca="1" si="21"/>
        <v>8.9823714823558234</v>
      </c>
      <c r="T13" s="304">
        <f t="shared" ca="1" si="1"/>
        <v>88.117064241910626</v>
      </c>
      <c r="U13" s="311">
        <f t="shared" ca="1" si="2"/>
        <v>15.301367626967618</v>
      </c>
      <c r="V13" s="306">
        <f t="shared" ca="1" si="3"/>
        <v>1.2249503219999442</v>
      </c>
      <c r="W13" s="304">
        <f t="shared" ca="1" si="4"/>
        <v>0.40735881250151984</v>
      </c>
      <c r="Y13" s="314" t="str">
        <f t="shared" ca="1" si="22"/>
        <v/>
      </c>
      <c r="Z13" s="315" t="str">
        <f t="shared" ca="1" si="23"/>
        <v/>
      </c>
      <c r="AA13" s="316" t="str">
        <f t="shared" ca="1" si="24"/>
        <v/>
      </c>
      <c r="AC13" s="310" t="e">
        <f t="shared" ca="1" si="25"/>
        <v>#N/A</v>
      </c>
      <c r="AD13" s="323" t="e">
        <f t="shared" ca="1" si="26"/>
        <v>#N/A</v>
      </c>
      <c r="AE13" s="324">
        <f t="shared" ca="1" si="5"/>
        <v>0.40554291741945758</v>
      </c>
      <c r="AG13" s="306">
        <f t="shared" ca="1" si="27"/>
        <v>131.29529439778653</v>
      </c>
      <c r="AH13" s="304">
        <f t="shared" ca="1" si="28"/>
        <v>140.9562584548363</v>
      </c>
    </row>
    <row r="14" spans="1:248" x14ac:dyDescent="0.3">
      <c r="A14" s="347">
        <f t="shared" ca="1" si="6"/>
        <v>0.01</v>
      </c>
      <c r="B14" s="304">
        <f t="shared" ca="1" si="7"/>
        <v>9.9999999999999992E-2</v>
      </c>
      <c r="D14" s="306">
        <f t="shared" ca="1" si="8"/>
        <v>22.981383751276919</v>
      </c>
      <c r="E14" s="307">
        <f t="shared" ca="1" si="9"/>
        <v>130.34075237793243</v>
      </c>
      <c r="F14" s="304">
        <f t="shared" ca="1" si="10"/>
        <v>132.35125888924878</v>
      </c>
      <c r="G14" s="306">
        <f t="shared" ca="1" si="11"/>
        <v>2.0261435440840088</v>
      </c>
      <c r="H14" s="307">
        <f t="shared" ca="1" si="12"/>
        <v>11.491440231114346</v>
      </c>
      <c r="I14" s="304">
        <f t="shared" ca="1" si="13"/>
        <v>11.668695567479112</v>
      </c>
      <c r="J14" s="306">
        <f t="shared" ca="1" si="14"/>
        <v>9.0616691124344659E-2</v>
      </c>
      <c r="K14" s="307">
        <f t="shared" ca="1" si="15"/>
        <v>0.51394028211170439</v>
      </c>
      <c r="L14" s="304">
        <f t="shared" ca="1" si="0"/>
        <v>0.52186779771066849</v>
      </c>
      <c r="M14" s="306">
        <f t="shared" ca="1" si="16"/>
        <v>1.3962634015954636</v>
      </c>
      <c r="N14" s="304">
        <f t="shared" ca="1" si="17"/>
        <v>80</v>
      </c>
      <c r="P14" s="310">
        <f t="shared" ca="1" si="18"/>
        <v>4</v>
      </c>
      <c r="Q14" s="304">
        <f t="shared" ca="1" si="19"/>
        <v>1275.124</v>
      </c>
      <c r="R14" s="306">
        <f t="shared" ca="1" si="20"/>
        <v>0.62663641542276971</v>
      </c>
      <c r="S14" s="307">
        <f t="shared" ca="1" si="21"/>
        <v>8.9761051182015965</v>
      </c>
      <c r="T14" s="304">
        <f t="shared" ca="1" si="1"/>
        <v>88.055591209557662</v>
      </c>
      <c r="U14" s="311">
        <f t="shared" ca="1" si="2"/>
        <v>15.290692946923865</v>
      </c>
      <c r="V14" s="306">
        <f t="shared" ca="1" si="3"/>
        <v>1.2249370439332243</v>
      </c>
      <c r="W14" s="304">
        <f t="shared" ca="1" si="4"/>
        <v>0.51825162669721092</v>
      </c>
      <c r="Y14" s="314" t="str">
        <f t="shared" ca="1" si="22"/>
        <v/>
      </c>
      <c r="Z14" s="315" t="str">
        <f t="shared" ca="1" si="23"/>
        <v/>
      </c>
      <c r="AA14" s="316" t="str">
        <f t="shared" ca="1" si="24"/>
        <v/>
      </c>
      <c r="AC14" s="310" t="e">
        <f t="shared" ca="1" si="25"/>
        <v>#N/A</v>
      </c>
      <c r="AD14" s="323" t="e">
        <f t="shared" ca="1" si="26"/>
        <v>#N/A</v>
      </c>
      <c r="AE14" s="324">
        <f t="shared" ca="1" si="5"/>
        <v>0.51394028211170439</v>
      </c>
      <c r="AG14" s="306">
        <f t="shared" ca="1" si="27"/>
        <v>132.3512588839059</v>
      </c>
      <c r="AH14" s="304">
        <f t="shared" ca="1" si="28"/>
        <v>142.01222294095567</v>
      </c>
    </row>
    <row r="15" spans="1:248" x14ac:dyDescent="0.3">
      <c r="A15" s="347">
        <f t="shared" ca="1" si="6"/>
        <v>0.01</v>
      </c>
      <c r="B15" s="304">
        <f t="shared" ca="1" si="7"/>
        <v>0.10999999999999999</v>
      </c>
      <c r="D15" s="306">
        <f t="shared" ca="1" si="8"/>
        <v>23.111570956835273</v>
      </c>
      <c r="E15" s="307">
        <f t="shared" ca="1" si="9"/>
        <v>131.07911745275794</v>
      </c>
      <c r="F15" s="304">
        <f t="shared" ca="1" si="10"/>
        <v>133.1010133105182</v>
      </c>
      <c r="G15" s="306">
        <f t="shared" ca="1" si="11"/>
        <v>2.2572592536523617</v>
      </c>
      <c r="H15" s="307">
        <f t="shared" ca="1" si="12"/>
        <v>12.802231405641926</v>
      </c>
      <c r="I15" s="304">
        <f t="shared" ca="1" si="13"/>
        <v>12.99970570058429</v>
      </c>
      <c r="J15" s="306">
        <f t="shared" ca="1" si="14"/>
        <v>0.11203370511302652</v>
      </c>
      <c r="K15" s="307">
        <f t="shared" ca="1" si="15"/>
        <v>0.63540864029548572</v>
      </c>
      <c r="L15" s="304">
        <f t="shared" ca="1" si="0"/>
        <v>0.64520980405098505</v>
      </c>
      <c r="M15" s="306">
        <f t="shared" ca="1" si="16"/>
        <v>1.3962634015954636</v>
      </c>
      <c r="N15" s="304">
        <f t="shared" ca="1" si="17"/>
        <v>80</v>
      </c>
      <c r="P15" s="310">
        <f t="shared" ca="1" si="18"/>
        <v>5</v>
      </c>
      <c r="Q15" s="304">
        <f t="shared" ca="1" si="19"/>
        <v>1281.066</v>
      </c>
      <c r="R15" s="306">
        <f t="shared" ca="1" si="20"/>
        <v>0.62955650286559262</v>
      </c>
      <c r="S15" s="307">
        <f t="shared" ca="1" si="21"/>
        <v>8.96980955317294</v>
      </c>
      <c r="T15" s="304">
        <f t="shared" ca="1" si="1"/>
        <v>87.993831716626545</v>
      </c>
      <c r="U15" s="311">
        <f t="shared" ca="1" si="2"/>
        <v>15.279968523522744</v>
      </c>
      <c r="V15" s="306">
        <f t="shared" ca="1" si="3"/>
        <v>1.224922164914418</v>
      </c>
      <c r="W15" s="304">
        <f t="shared" ca="1" si="4"/>
        <v>0.64321745414047693</v>
      </c>
      <c r="Y15" s="314" t="str">
        <f t="shared" ca="1" si="22"/>
        <v/>
      </c>
      <c r="Z15" s="315" t="str">
        <f t="shared" ca="1" si="23"/>
        <v/>
      </c>
      <c r="AA15" s="316" t="str">
        <f t="shared" ca="1" si="24"/>
        <v/>
      </c>
      <c r="AC15" s="310" t="e">
        <f t="shared" ca="1" si="25"/>
        <v>#N/A</v>
      </c>
      <c r="AD15" s="323" t="e">
        <f t="shared" ca="1" si="26"/>
        <v>#N/A</v>
      </c>
      <c r="AE15" s="324">
        <f t="shared" ca="1" si="5"/>
        <v>0.63540864029548572</v>
      </c>
      <c r="AG15" s="306">
        <f t="shared" ca="1" si="27"/>
        <v>133.10101330514826</v>
      </c>
      <c r="AH15" s="304">
        <f t="shared" ca="1" si="28"/>
        <v>142.76197736219802</v>
      </c>
    </row>
    <row r="16" spans="1:248" x14ac:dyDescent="0.3">
      <c r="A16" s="347">
        <f t="shared" ca="1" si="6"/>
        <v>0.01</v>
      </c>
      <c r="B16" s="304">
        <f t="shared" ca="1" si="7"/>
        <v>0.11999999999999998</v>
      </c>
      <c r="D16" s="306">
        <f t="shared" ca="1" si="8"/>
        <v>23.188439307181827</v>
      </c>
      <c r="E16" s="307">
        <f t="shared" ca="1" si="9"/>
        <v>131.51508154645109</v>
      </c>
      <c r="F16" s="304">
        <f t="shared" ca="1" si="10"/>
        <v>133.54370217899657</v>
      </c>
      <c r="G16" s="306">
        <f t="shared" ca="1" si="11"/>
        <v>2.4891436467241799</v>
      </c>
      <c r="H16" s="307">
        <f t="shared" ca="1" si="12"/>
        <v>14.117382221106437</v>
      </c>
      <c r="I16" s="304">
        <f t="shared" ca="1" si="13"/>
        <v>14.335142722374252</v>
      </c>
      <c r="J16" s="306">
        <f t="shared" ca="1" si="14"/>
        <v>0.13576571961490921</v>
      </c>
      <c r="K16" s="307">
        <f t="shared" ca="1" si="15"/>
        <v>0.77000670842922758</v>
      </c>
      <c r="L16" s="304">
        <f t="shared" ca="1" si="0"/>
        <v>0.78188404616577745</v>
      </c>
      <c r="M16" s="306">
        <f t="shared" ca="1" si="16"/>
        <v>1.3962634015954636</v>
      </c>
      <c r="N16" s="304">
        <f t="shared" ca="1" si="17"/>
        <v>80</v>
      </c>
      <c r="P16" s="310">
        <f t="shared" ca="1" si="18"/>
        <v>5</v>
      </c>
      <c r="Q16" s="304">
        <f t="shared" ca="1" si="19"/>
        <v>1284.258</v>
      </c>
      <c r="R16" s="306">
        <f t="shared" ca="1" si="20"/>
        <v>0.63112515300317107</v>
      </c>
      <c r="S16" s="307">
        <f t="shared" ca="1" si="21"/>
        <v>8.9634983016429075</v>
      </c>
      <c r="T16" s="304">
        <f t="shared" ca="1" si="1"/>
        <v>87.931918339116933</v>
      </c>
      <c r="U16" s="311">
        <f t="shared" ca="1" si="2"/>
        <v>15.269217378344994</v>
      </c>
      <c r="V16" s="306">
        <f t="shared" ca="1" si="3"/>
        <v>1.2249056778096534</v>
      </c>
      <c r="W16" s="304">
        <f t="shared" ca="1" si="4"/>
        <v>0.78214806771884038</v>
      </c>
      <c r="Y16" s="314" t="str">
        <f t="shared" ca="1" si="22"/>
        <v/>
      </c>
      <c r="Z16" s="315" t="str">
        <f t="shared" ca="1" si="23"/>
        <v/>
      </c>
      <c r="AA16" s="316" t="str">
        <f t="shared" ca="1" si="24"/>
        <v/>
      </c>
      <c r="AC16" s="310" t="e">
        <f t="shared" ca="1" si="25"/>
        <v>#N/A</v>
      </c>
      <c r="AD16" s="323" t="e">
        <f t="shared" ca="1" si="26"/>
        <v>#N/A</v>
      </c>
      <c r="AE16" s="324">
        <f t="shared" ca="1" si="5"/>
        <v>0.77000670842922758</v>
      </c>
      <c r="AG16" s="306">
        <f t="shared" ca="1" si="27"/>
        <v>133.54370217361014</v>
      </c>
      <c r="AH16" s="304">
        <f t="shared" ca="1" si="28"/>
        <v>143.20466623065991</v>
      </c>
    </row>
    <row r="17" spans="1:34" x14ac:dyDescent="0.3">
      <c r="A17" s="347">
        <f t="shared" ca="1" si="6"/>
        <v>0.01</v>
      </c>
      <c r="B17" s="304">
        <f t="shared" ca="1" si="7"/>
        <v>0.12999999999999998</v>
      </c>
      <c r="D17" s="306">
        <f t="shared" ca="1" si="8"/>
        <v>23.265188934603497</v>
      </c>
      <c r="E17" s="307">
        <f t="shared" ca="1" si="9"/>
        <v>131.95037237213876</v>
      </c>
      <c r="F17" s="304">
        <f t="shared" ca="1" si="10"/>
        <v>133.98570739190384</v>
      </c>
      <c r="G17" s="306">
        <f t="shared" ca="1" si="11"/>
        <v>2.7217955360702151</v>
      </c>
      <c r="H17" s="307">
        <f t="shared" ca="1" si="12"/>
        <v>15.436885944827825</v>
      </c>
      <c r="I17" s="304">
        <f t="shared" ca="1" si="13"/>
        <v>15.674999796293287</v>
      </c>
      <c r="J17" s="306">
        <f t="shared" ca="1" si="14"/>
        <v>0.16182041552888118</v>
      </c>
      <c r="K17" s="307">
        <f t="shared" ca="1" si="15"/>
        <v>0.91777804925889894</v>
      </c>
      <c r="L17" s="304">
        <f t="shared" ca="1" si="0"/>
        <v>0.93193475875911491</v>
      </c>
      <c r="M17" s="306">
        <f t="shared" ca="1" si="16"/>
        <v>1.3962634015954636</v>
      </c>
      <c r="N17" s="304">
        <f t="shared" ca="1" si="17"/>
        <v>80</v>
      </c>
      <c r="P17" s="310">
        <f t="shared" ca="1" si="18"/>
        <v>5</v>
      </c>
      <c r="Q17" s="304">
        <f t="shared" ca="1" si="19"/>
        <v>1287.45</v>
      </c>
      <c r="R17" s="306">
        <f t="shared" ca="1" si="20"/>
        <v>0.63269380314074941</v>
      </c>
      <c r="S17" s="307">
        <f t="shared" ca="1" si="21"/>
        <v>8.9571713636115007</v>
      </c>
      <c r="T17" s="304">
        <f t="shared" ca="1" si="1"/>
        <v>87.869851077028827</v>
      </c>
      <c r="U17" s="311">
        <f t="shared" ca="1" si="2"/>
        <v>15.258439511390618</v>
      </c>
      <c r="V17" s="306">
        <f t="shared" ca="1" si="3"/>
        <v>1.2248875773479182</v>
      </c>
      <c r="W17" s="304">
        <f t="shared" ca="1" si="4"/>
        <v>0.93517654199880229</v>
      </c>
      <c r="Y17" s="314" t="str">
        <f t="shared" ca="1" si="22"/>
        <v/>
      </c>
      <c r="Z17" s="315" t="str">
        <f t="shared" ca="1" si="23"/>
        <v/>
      </c>
      <c r="AA17" s="316" t="str">
        <f t="shared" ca="1" si="24"/>
        <v/>
      </c>
      <c r="AC17" s="310" t="e">
        <f t="shared" ca="1" si="25"/>
        <v>#N/A</v>
      </c>
      <c r="AD17" s="323" t="e">
        <f t="shared" ca="1" si="26"/>
        <v>#N/A</v>
      </c>
      <c r="AE17" s="324">
        <f t="shared" ca="1" si="5"/>
        <v>0.91777804925889894</v>
      </c>
      <c r="AG17" s="306">
        <f t="shared" ca="1" si="27"/>
        <v>133.98570738650082</v>
      </c>
      <c r="AH17" s="304">
        <f t="shared" ca="1" si="28"/>
        <v>143.64667144355059</v>
      </c>
    </row>
    <row r="18" spans="1:34" x14ac:dyDescent="0.3">
      <c r="A18" s="347">
        <f t="shared" ca="1" si="6"/>
        <v>0.01</v>
      </c>
      <c r="B18" s="304">
        <f t="shared" ca="1" si="7"/>
        <v>0.13999999999999999</v>
      </c>
      <c r="D18" s="306">
        <f t="shared" ca="1" si="8"/>
        <v>23.341817409178425</v>
      </c>
      <c r="E18" s="307">
        <f t="shared" ca="1" si="9"/>
        <v>132.38497614925683</v>
      </c>
      <c r="F18" s="304">
        <f t="shared" ca="1" si="10"/>
        <v>134.4270149560821</v>
      </c>
      <c r="G18" s="306">
        <f t="shared" ca="1" si="11"/>
        <v>2.9552137101619995</v>
      </c>
      <c r="H18" s="307">
        <f t="shared" ca="1" si="12"/>
        <v>16.760735706320393</v>
      </c>
      <c r="I18" s="304">
        <f t="shared" ca="1" si="13"/>
        <v>17.019269945854106</v>
      </c>
      <c r="J18" s="306">
        <f t="shared" ca="1" si="14"/>
        <v>0.19020546176004227</v>
      </c>
      <c r="K18" s="307">
        <f t="shared" ca="1" si="15"/>
        <v>1.0787661575146401</v>
      </c>
      <c r="L18" s="304">
        <f t="shared" ca="1" si="0"/>
        <v>1.0954061074698516</v>
      </c>
      <c r="M18" s="306">
        <f t="shared" ca="1" si="16"/>
        <v>1.3962634015954636</v>
      </c>
      <c r="N18" s="304">
        <f t="shared" ca="1" si="17"/>
        <v>80</v>
      </c>
      <c r="P18" s="310">
        <f t="shared" ca="1" si="18"/>
        <v>5</v>
      </c>
      <c r="Q18" s="304">
        <f t="shared" ca="1" si="19"/>
        <v>1290.6420000000001</v>
      </c>
      <c r="R18" s="306">
        <f t="shared" ca="1" si="20"/>
        <v>0.63426245327832775</v>
      </c>
      <c r="S18" s="307">
        <f t="shared" ca="1" si="21"/>
        <v>8.9508287390787178</v>
      </c>
      <c r="T18" s="304">
        <f t="shared" ca="1" si="1"/>
        <v>87.807629930362225</v>
      </c>
      <c r="U18" s="311">
        <f t="shared" ca="1" si="2"/>
        <v>15.247634922659616</v>
      </c>
      <c r="V18" s="306">
        <f t="shared" ca="1" si="3"/>
        <v>1.2248678582732055</v>
      </c>
      <c r="W18" s="304">
        <f t="shared" ca="1" si="4"/>
        <v>1.1024359795880527</v>
      </c>
      <c r="Y18" s="314" t="str">
        <f t="shared" ca="1" si="22"/>
        <v/>
      </c>
      <c r="Z18" s="315" t="str">
        <f t="shared" ca="1" si="23"/>
        <v/>
      </c>
      <c r="AA18" s="316" t="str">
        <f t="shared" ca="1" si="24"/>
        <v/>
      </c>
      <c r="AC18" s="310" t="e">
        <f t="shared" ca="1" si="25"/>
        <v>#N/A</v>
      </c>
      <c r="AD18" s="323" t="e">
        <f t="shared" ca="1" si="26"/>
        <v>#N/A</v>
      </c>
      <c r="AE18" s="324">
        <f t="shared" ca="1" si="5"/>
        <v>1.0787661575146401</v>
      </c>
      <c r="AG18" s="306">
        <f t="shared" ca="1" si="27"/>
        <v>134.42701495066243</v>
      </c>
      <c r="AH18" s="304">
        <f t="shared" ca="1" si="28"/>
        <v>144.08797900771219</v>
      </c>
    </row>
    <row r="19" spans="1:34" x14ac:dyDescent="0.3">
      <c r="A19" s="347">
        <f t="shared" ca="1" si="6"/>
        <v>0.01</v>
      </c>
      <c r="B19" s="304">
        <f t="shared" ca="1" si="7"/>
        <v>0.15</v>
      </c>
      <c r="D19" s="306">
        <f t="shared" ca="1" si="8"/>
        <v>23.418322292281712</v>
      </c>
      <c r="E19" s="307">
        <f t="shared" ca="1" si="9"/>
        <v>132.81887904788479</v>
      </c>
      <c r="F19" s="304">
        <f t="shared" ca="1" si="10"/>
        <v>134.86761082825569</v>
      </c>
      <c r="G19" s="306">
        <f t="shared" ca="1" si="11"/>
        <v>3.1893969330848169</v>
      </c>
      <c r="H19" s="307">
        <f t="shared" ca="1" si="12"/>
        <v>18.08892449679924</v>
      </c>
      <c r="I19" s="304">
        <f t="shared" ca="1" si="13"/>
        <v>18.367946054136659</v>
      </c>
      <c r="J19" s="306">
        <f t="shared" ca="1" si="14"/>
        <v>0.22092851497627636</v>
      </c>
      <c r="K19" s="307">
        <f t="shared" ca="1" si="15"/>
        <v>1.2530144585302383</v>
      </c>
      <c r="L19" s="304">
        <f t="shared" ca="1" si="0"/>
        <v>1.2723421874698053</v>
      </c>
      <c r="M19" s="306">
        <f t="shared" ca="1" si="16"/>
        <v>1.3962634015954636</v>
      </c>
      <c r="N19" s="304">
        <f t="shared" ca="1" si="17"/>
        <v>80</v>
      </c>
      <c r="P19" s="310">
        <f t="shared" ca="1" si="18"/>
        <v>5</v>
      </c>
      <c r="Q19" s="304">
        <f t="shared" ca="1" si="19"/>
        <v>1293.8340000000001</v>
      </c>
      <c r="R19" s="306">
        <f t="shared" ca="1" si="20"/>
        <v>0.6358311034159061</v>
      </c>
      <c r="S19" s="307">
        <f t="shared" ca="1" si="21"/>
        <v>8.9444704280445588</v>
      </c>
      <c r="T19" s="304">
        <f t="shared" ca="1" si="1"/>
        <v>87.745254899117128</v>
      </c>
      <c r="U19" s="311">
        <f t="shared" ca="1" si="2"/>
        <v>15.236803612151988</v>
      </c>
      <c r="V19" s="306">
        <f t="shared" ca="1" si="3"/>
        <v>1.224846515344755</v>
      </c>
      <c r="W19" s="304">
        <f t="shared" ca="1" si="4"/>
        <v>1.2840594992025325</v>
      </c>
      <c r="Y19" s="314" t="str">
        <f t="shared" ca="1" si="22"/>
        <v/>
      </c>
      <c r="Z19" s="315" t="str">
        <f t="shared" ca="1" si="23"/>
        <v/>
      </c>
      <c r="AA19" s="316" t="str">
        <f t="shared" ca="1" si="24"/>
        <v/>
      </c>
      <c r="AC19" s="310" t="e">
        <f t="shared" ca="1" si="25"/>
        <v>#N/A</v>
      </c>
      <c r="AD19" s="323" t="e">
        <f t="shared" ca="1" si="26"/>
        <v>#N/A</v>
      </c>
      <c r="AE19" s="324">
        <f t="shared" ca="1" si="5"/>
        <v>1.2530144585302383</v>
      </c>
      <c r="AG19" s="306">
        <f t="shared" ca="1" si="27"/>
        <v>134.86761082281924</v>
      </c>
      <c r="AH19" s="304">
        <f t="shared" ca="1" si="28"/>
        <v>144.52857487986901</v>
      </c>
    </row>
    <row r="20" spans="1:34" x14ac:dyDescent="0.3">
      <c r="A20" s="347">
        <f t="shared" ca="1" si="6"/>
        <v>0.01</v>
      </c>
      <c r="B20" s="304">
        <f t="shared" ca="1" si="7"/>
        <v>0.16</v>
      </c>
      <c r="D20" s="306">
        <f t="shared" ca="1" si="8"/>
        <v>23.494701136743561</v>
      </c>
      <c r="E20" s="307">
        <f t="shared" ca="1" si="9"/>
        <v>133.2520671896427</v>
      </c>
      <c r="F20" s="304">
        <f t="shared" ca="1" si="10"/>
        <v>135.3074809159418</v>
      </c>
      <c r="G20" s="306">
        <f t="shared" ca="1" si="11"/>
        <v>3.4243439444522523</v>
      </c>
      <c r="H20" s="307">
        <f t="shared" ca="1" si="12"/>
        <v>19.421445168695669</v>
      </c>
      <c r="I20" s="304">
        <f t="shared" ca="1" si="13"/>
        <v>19.721020863296079</v>
      </c>
      <c r="J20" s="306">
        <f t="shared" ca="1" si="14"/>
        <v>0.25399721936396169</v>
      </c>
      <c r="K20" s="307">
        <f t="shared" ca="1" si="15"/>
        <v>1.4405663068577128</v>
      </c>
      <c r="L20" s="304">
        <f t="shared" ca="1" si="0"/>
        <v>1.4627870220569685</v>
      </c>
      <c r="M20" s="306">
        <f t="shared" ca="1" si="16"/>
        <v>1.3962634015954636</v>
      </c>
      <c r="N20" s="304">
        <f t="shared" ca="1" si="17"/>
        <v>80</v>
      </c>
      <c r="P20" s="310">
        <f t="shared" ca="1" si="18"/>
        <v>5</v>
      </c>
      <c r="Q20" s="304">
        <f t="shared" ca="1" si="19"/>
        <v>1297.0260000000001</v>
      </c>
      <c r="R20" s="306">
        <f t="shared" ca="1" si="20"/>
        <v>0.63739975355348455</v>
      </c>
      <c r="S20" s="307">
        <f t="shared" ca="1" si="21"/>
        <v>8.9380964305090238</v>
      </c>
      <c r="T20" s="304">
        <f t="shared" ca="1" si="1"/>
        <v>87.682725983293523</v>
      </c>
      <c r="U20" s="311">
        <f t="shared" ca="1" si="2"/>
        <v>15.22594557986773</v>
      </c>
      <c r="V20" s="306">
        <f t="shared" ca="1" si="3"/>
        <v>1.2248235433372863</v>
      </c>
      <c r="W20" s="304">
        <f t="shared" ca="1" si="4"/>
        <v>1.4801802236265964</v>
      </c>
      <c r="Y20" s="314" t="str">
        <f t="shared" ca="1" si="22"/>
        <v/>
      </c>
      <c r="Z20" s="315" t="str">
        <f t="shared" ca="1" si="23"/>
        <v/>
      </c>
      <c r="AA20" s="316" t="str">
        <f t="shared" ca="1" si="24"/>
        <v/>
      </c>
      <c r="AC20" s="310" t="e">
        <f t="shared" ca="1" si="25"/>
        <v>#N/A</v>
      </c>
      <c r="AD20" s="323" t="e">
        <f t="shared" ca="1" si="26"/>
        <v>#N/A</v>
      </c>
      <c r="AE20" s="324">
        <f t="shared" ca="1" si="5"/>
        <v>1.4405663068577128</v>
      </c>
      <c r="AG20" s="306">
        <f t="shared" ca="1" si="27"/>
        <v>135.30748091048847</v>
      </c>
      <c r="AH20" s="304">
        <f t="shared" ca="1" si="28"/>
        <v>144.96844496753823</v>
      </c>
    </row>
    <row r="21" spans="1:34" x14ac:dyDescent="0.3">
      <c r="A21" s="347">
        <f t="shared" ca="1" si="6"/>
        <v>0.01</v>
      </c>
      <c r="B21" s="304">
        <f t="shared" ca="1" si="7"/>
        <v>0.17</v>
      </c>
      <c r="D21" s="306">
        <f t="shared" ca="1" si="8"/>
        <v>23.570951487009971</v>
      </c>
      <c r="E21" s="307">
        <f t="shared" ca="1" si="9"/>
        <v>133.68452664860237</v>
      </c>
      <c r="F21" s="304">
        <f t="shared" ca="1" si="10"/>
        <v>135.74661107837593</v>
      </c>
      <c r="G21" s="306">
        <f t="shared" ca="1" si="11"/>
        <v>3.6600534593223522</v>
      </c>
      <c r="H21" s="307">
        <f t="shared" ca="1" si="12"/>
        <v>20.758290435181692</v>
      </c>
      <c r="I21" s="304">
        <f t="shared" ca="1" si="13"/>
        <v>21.078486974079834</v>
      </c>
      <c r="J21" s="306">
        <f t="shared" ca="1" si="14"/>
        <v>0.28941920638283469</v>
      </c>
      <c r="K21" s="307">
        <f t="shared" ca="1" si="15"/>
        <v>1.6414649848770997</v>
      </c>
      <c r="L21" s="304">
        <f t="shared" ca="1" si="0"/>
        <v>1.6667845612438481</v>
      </c>
      <c r="M21" s="306">
        <f t="shared" ca="1" si="16"/>
        <v>1.3962634015954636</v>
      </c>
      <c r="N21" s="304">
        <f t="shared" ca="1" si="17"/>
        <v>80</v>
      </c>
      <c r="P21" s="310">
        <f t="shared" ca="1" si="18"/>
        <v>5</v>
      </c>
      <c r="Q21" s="304">
        <f t="shared" ca="1" si="19"/>
        <v>1300.2180000000001</v>
      </c>
      <c r="R21" s="306">
        <f t="shared" ca="1" si="20"/>
        <v>0.63896840369106289</v>
      </c>
      <c r="S21" s="307">
        <f t="shared" ca="1" si="21"/>
        <v>8.9317067464721127</v>
      </c>
      <c r="T21" s="304">
        <f t="shared" ca="1" si="1"/>
        <v>87.620043182891436</v>
      </c>
      <c r="U21" s="311">
        <f t="shared" ca="1" si="2"/>
        <v>15.215060825806848</v>
      </c>
      <c r="V21" s="306">
        <f t="shared" ca="1" si="3"/>
        <v>1.2247989370412429</v>
      </c>
      <c r="W21" s="304">
        <f t="shared" ca="1" si="4"/>
        <v>1.6909312675672583</v>
      </c>
      <c r="Y21" s="314" t="str">
        <f t="shared" ca="1" si="22"/>
        <v/>
      </c>
      <c r="Z21" s="315" t="str">
        <f t="shared" ca="1" si="23"/>
        <v/>
      </c>
      <c r="AA21" s="316" t="str">
        <f t="shared" ca="1" si="24"/>
        <v/>
      </c>
      <c r="AC21" s="310" t="e">
        <f t="shared" ca="1" si="25"/>
        <v>#N/A</v>
      </c>
      <c r="AD21" s="323" t="e">
        <f t="shared" ca="1" si="26"/>
        <v>#N/A</v>
      </c>
      <c r="AE21" s="324">
        <f t="shared" ca="1" si="5"/>
        <v>1.6414649848770997</v>
      </c>
      <c r="AG21" s="306">
        <f t="shared" ca="1" si="27"/>
        <v>135.74661107290567</v>
      </c>
      <c r="AH21" s="304">
        <f t="shared" ca="1" si="28"/>
        <v>145.40757512995543</v>
      </c>
    </row>
    <row r="22" spans="1:34" x14ac:dyDescent="0.3">
      <c r="A22" s="347">
        <f t="shared" ca="1" si="6"/>
        <v>0.01</v>
      </c>
      <c r="B22" s="304">
        <f t="shared" ca="1" si="7"/>
        <v>0.18000000000000002</v>
      </c>
      <c r="D22" s="306">
        <f t="shared" ca="1" si="8"/>
        <v>23.647070879305915</v>
      </c>
      <c r="E22" s="307">
        <f t="shared" ca="1" si="9"/>
        <v>134.11624345221307</v>
      </c>
      <c r="F22" s="304">
        <f t="shared" ca="1" si="10"/>
        <v>136.18498712745176</v>
      </c>
      <c r="G22" s="306">
        <f t="shared" ca="1" si="11"/>
        <v>3.8965241681154112</v>
      </c>
      <c r="H22" s="307">
        <f t="shared" ca="1" si="12"/>
        <v>22.099452869703821</v>
      </c>
      <c r="I22" s="304">
        <f t="shared" ca="1" si="13"/>
        <v>22.440336845354349</v>
      </c>
      <c r="J22" s="306">
        <f t="shared" ca="1" si="14"/>
        <v>0.32720209452002352</v>
      </c>
      <c r="K22" s="307">
        <f t="shared" ca="1" si="15"/>
        <v>1.8557537014015273</v>
      </c>
      <c r="L22" s="304">
        <f t="shared" ca="1" si="0"/>
        <v>1.8843786803410187</v>
      </c>
      <c r="M22" s="306">
        <f t="shared" ca="1" si="16"/>
        <v>1.3962634015954636</v>
      </c>
      <c r="N22" s="304">
        <f t="shared" ca="1" si="17"/>
        <v>80</v>
      </c>
      <c r="P22" s="310">
        <f t="shared" ca="1" si="18"/>
        <v>5</v>
      </c>
      <c r="Q22" s="304">
        <f t="shared" ca="1" si="19"/>
        <v>1303.4100000000001</v>
      </c>
      <c r="R22" s="306">
        <f t="shared" ca="1" si="20"/>
        <v>0.64053705382864123</v>
      </c>
      <c r="S22" s="307">
        <f t="shared" ca="1" si="21"/>
        <v>8.9253013759338256</v>
      </c>
      <c r="T22" s="304">
        <f t="shared" ca="1" si="1"/>
        <v>87.557206497910826</v>
      </c>
      <c r="U22" s="311">
        <f t="shared" ca="1" si="2"/>
        <v>15.204149349969333</v>
      </c>
      <c r="V22" s="306">
        <f t="shared" ca="1" si="3"/>
        <v>1.2247726912630297</v>
      </c>
      <c r="W22" s="304">
        <f t="shared" ca="1" si="4"/>
        <v>1.9164457254035265</v>
      </c>
      <c r="Y22" s="314" t="str">
        <f t="shared" ca="1" si="22"/>
        <v/>
      </c>
      <c r="Z22" s="315" t="str">
        <f t="shared" ca="1" si="23"/>
        <v/>
      </c>
      <c r="AA22" s="316" t="str">
        <f t="shared" ca="1" si="24"/>
        <v/>
      </c>
      <c r="AC22" s="310" t="e">
        <f t="shared" ca="1" si="25"/>
        <v>#N/A</v>
      </c>
      <c r="AD22" s="323" t="e">
        <f t="shared" ca="1" si="26"/>
        <v>#N/A</v>
      </c>
      <c r="AE22" s="324">
        <f t="shared" ca="1" si="5"/>
        <v>1.8557537014015273</v>
      </c>
      <c r="AG22" s="306">
        <f t="shared" ca="1" si="27"/>
        <v>136.18498712196441</v>
      </c>
      <c r="AH22" s="304">
        <f t="shared" ca="1" si="28"/>
        <v>145.84595117901418</v>
      </c>
    </row>
    <row r="23" spans="1:34" x14ac:dyDescent="0.3">
      <c r="A23" s="347">
        <f t="shared" ca="1" si="6"/>
        <v>0.01</v>
      </c>
      <c r="B23" s="304">
        <f t="shared" ca="1" si="7"/>
        <v>0.19000000000000003</v>
      </c>
      <c r="D23" s="306">
        <f t="shared" ca="1" si="8"/>
        <v>23.723056841801107</v>
      </c>
      <c r="E23" s="307">
        <f t="shared" ca="1" si="9"/>
        <v>134.54720358224139</v>
      </c>
      <c r="F23" s="304">
        <f t="shared" ca="1" si="10"/>
        <v>136.62259482867552</v>
      </c>
      <c r="G23" s="306">
        <f t="shared" ca="1" si="11"/>
        <v>4.1337547365334224</v>
      </c>
      <c r="H23" s="307">
        <f t="shared" ca="1" si="12"/>
        <v>23.444924905526236</v>
      </c>
      <c r="I23" s="304">
        <f t="shared" ca="1" si="13"/>
        <v>23.806562793641103</v>
      </c>
      <c r="J23" s="306">
        <f t="shared" ca="1" si="14"/>
        <v>0.3673534890432677</v>
      </c>
      <c r="K23" s="307">
        <f t="shared" ca="1" si="15"/>
        <v>2.0834755902776774</v>
      </c>
      <c r="L23" s="304">
        <f t="shared" ca="1" si="0"/>
        <v>2.1156131785359955</v>
      </c>
      <c r="M23" s="306">
        <f t="shared" ca="1" si="16"/>
        <v>1.3962634015954636</v>
      </c>
      <c r="N23" s="304">
        <f t="shared" ca="1" si="17"/>
        <v>80</v>
      </c>
      <c r="P23" s="310">
        <f t="shared" ca="1" si="18"/>
        <v>5</v>
      </c>
      <c r="Q23" s="304">
        <f t="shared" ca="1" si="19"/>
        <v>1306.6020000000001</v>
      </c>
      <c r="R23" s="306">
        <f t="shared" ca="1" si="20"/>
        <v>0.64210570396621969</v>
      </c>
      <c r="S23" s="307">
        <f t="shared" ca="1" si="21"/>
        <v>8.9188803188941641</v>
      </c>
      <c r="T23" s="304">
        <f t="shared" ca="1" si="1"/>
        <v>87.49421592835175</v>
      </c>
      <c r="U23" s="311">
        <f t="shared" ca="1" si="2"/>
        <v>15.193211152355198</v>
      </c>
      <c r="V23" s="306">
        <f t="shared" ca="1" si="3"/>
        <v>1.2247448008252537</v>
      </c>
      <c r="W23" s="304">
        <f t="shared" ca="1" si="4"/>
        <v>2.1568566588318596</v>
      </c>
      <c r="Y23" s="314" t="str">
        <f t="shared" ca="1" si="22"/>
        <v/>
      </c>
      <c r="Z23" s="315" t="str">
        <f t="shared" ca="1" si="23"/>
        <v/>
      </c>
      <c r="AA23" s="316" t="str">
        <f t="shared" ca="1" si="24"/>
        <v/>
      </c>
      <c r="AC23" s="310" t="e">
        <f t="shared" ca="1" si="25"/>
        <v>#N/A</v>
      </c>
      <c r="AD23" s="323" t="e">
        <f t="shared" ca="1" si="26"/>
        <v>#N/A</v>
      </c>
      <c r="AE23" s="324">
        <f t="shared" ca="1" si="5"/>
        <v>2.0834755902776774</v>
      </c>
      <c r="AG23" s="306">
        <f t="shared" ca="1" si="27"/>
        <v>136.622594823171</v>
      </c>
      <c r="AH23" s="304">
        <f t="shared" ca="1" si="28"/>
        <v>146.28355888022077</v>
      </c>
    </row>
    <row r="24" spans="1:34" x14ac:dyDescent="0.3">
      <c r="A24" s="347">
        <f t="shared" ca="1" si="6"/>
        <v>0.01</v>
      </c>
      <c r="B24" s="304">
        <f t="shared" ca="1" si="7"/>
        <v>0.20000000000000004</v>
      </c>
      <c r="D24" s="306">
        <f t="shared" ca="1" si="8"/>
        <v>23.798906894778245</v>
      </c>
      <c r="E24" s="307">
        <f t="shared" ca="1" si="9"/>
        <v>134.97739297572559</v>
      </c>
      <c r="F24" s="304">
        <f t="shared" ca="1" si="10"/>
        <v>137.05941990213506</v>
      </c>
      <c r="G24" s="306">
        <f t="shared" ca="1" si="11"/>
        <v>4.3717438054812048</v>
      </c>
      <c r="H24" s="307">
        <f t="shared" ca="1" si="12"/>
        <v>24.794698835283491</v>
      </c>
      <c r="I24" s="304">
        <f t="shared" ca="1" si="13"/>
        <v>25.177156992662454</v>
      </c>
      <c r="J24" s="306">
        <f t="shared" ca="1" si="14"/>
        <v>0.40988098175334087</v>
      </c>
      <c r="K24" s="307">
        <f t="shared" ca="1" si="15"/>
        <v>2.324673708981726</v>
      </c>
      <c r="L24" s="304">
        <f t="shared" ca="1" si="0"/>
        <v>2.360531777467513</v>
      </c>
      <c r="M24" s="306">
        <f t="shared" ca="1" si="16"/>
        <v>1.3962634015954636</v>
      </c>
      <c r="N24" s="304">
        <f t="shared" ca="1" si="17"/>
        <v>80</v>
      </c>
      <c r="P24" s="310">
        <f t="shared" ca="1" si="18"/>
        <v>5</v>
      </c>
      <c r="Q24" s="304">
        <f t="shared" ca="1" si="19"/>
        <v>1309.7940000000001</v>
      </c>
      <c r="R24" s="306">
        <f t="shared" ca="1" si="20"/>
        <v>0.64367435410379803</v>
      </c>
      <c r="S24" s="307">
        <f t="shared" ca="1" si="21"/>
        <v>8.9124435753531266</v>
      </c>
      <c r="T24" s="304">
        <f t="shared" ca="1" si="1"/>
        <v>87.431071474214178</v>
      </c>
      <c r="U24" s="311">
        <f t="shared" ca="1" si="2"/>
        <v>15.182246232964435</v>
      </c>
      <c r="V24" s="306">
        <f t="shared" ca="1" si="3"/>
        <v>1.2247152605669633</v>
      </c>
      <c r="W24" s="304">
        <f t="shared" ca="1" si="4"/>
        <v>2.4122970844088334</v>
      </c>
      <c r="Y24" s="314" t="str">
        <f t="shared" ca="1" si="22"/>
        <v/>
      </c>
      <c r="Z24" s="315" t="str">
        <f t="shared" ca="1" si="23"/>
        <v/>
      </c>
      <c r="AA24" s="316" t="str">
        <f t="shared" ca="1" si="24"/>
        <v/>
      </c>
      <c r="AC24" s="310" t="e">
        <f t="shared" ca="1" si="25"/>
        <v>#N/A</v>
      </c>
      <c r="AD24" s="323" t="e">
        <f t="shared" ca="1" si="26"/>
        <v>#N/A</v>
      </c>
      <c r="AE24" s="324">
        <f t="shared" ca="1" si="5"/>
        <v>2.324673708981726</v>
      </c>
      <c r="AG24" s="306">
        <f t="shared" ca="1" si="27"/>
        <v>137.05941989661329</v>
      </c>
      <c r="AH24" s="304">
        <f t="shared" ca="1" si="28"/>
        <v>146.72038395366306</v>
      </c>
    </row>
    <row r="25" spans="1:34" x14ac:dyDescent="0.3">
      <c r="A25" s="347">
        <f t="shared" ca="1" si="6"/>
        <v>0.01</v>
      </c>
      <c r="B25" s="304">
        <f t="shared" ca="1" si="7"/>
        <v>0.21000000000000005</v>
      </c>
      <c r="D25" s="306">
        <f t="shared" ca="1" si="8"/>
        <v>23.853234420129365</v>
      </c>
      <c r="E25" s="307">
        <f t="shared" ca="1" si="9"/>
        <v>135.28551615731604</v>
      </c>
      <c r="F25" s="304">
        <f t="shared" ca="1" si="10"/>
        <v>137.37229587603559</v>
      </c>
      <c r="G25" s="306">
        <f t="shared" ca="1" si="11"/>
        <v>4.6102761496824982</v>
      </c>
      <c r="H25" s="307">
        <f t="shared" ca="1" si="12"/>
        <v>26.147553996856651</v>
      </c>
      <c r="I25" s="304">
        <f t="shared" ca="1" si="13"/>
        <v>26.550879951422807</v>
      </c>
      <c r="J25" s="306">
        <f t="shared" ca="1" si="14"/>
        <v>0.45479108152915937</v>
      </c>
      <c r="K25" s="307">
        <f t="shared" ca="1" si="15"/>
        <v>2.5793849731424268</v>
      </c>
      <c r="L25" s="304">
        <f t="shared" ca="1" si="0"/>
        <v>2.6191719621879392</v>
      </c>
      <c r="M25" s="306">
        <f t="shared" ca="1" si="16"/>
        <v>1.3962634015954636</v>
      </c>
      <c r="N25" s="304">
        <f t="shared" ca="1" si="17"/>
        <v>80</v>
      </c>
      <c r="P25" s="310">
        <f t="shared" ca="1" si="18"/>
        <v>6</v>
      </c>
      <c r="Q25" s="304">
        <f t="shared" ca="1" si="19"/>
        <v>1311.89</v>
      </c>
      <c r="R25" s="306">
        <f t="shared" ca="1" si="20"/>
        <v>0.64470439504626798</v>
      </c>
      <c r="S25" s="307">
        <f t="shared" ca="1" si="21"/>
        <v>8.9059965314026641</v>
      </c>
      <c r="T25" s="304">
        <f t="shared" ca="1" si="1"/>
        <v>87.367825973060135</v>
      </c>
      <c r="U25" s="311">
        <f t="shared" ca="1" si="2"/>
        <v>15.171263766943405</v>
      </c>
      <c r="V25" s="306">
        <f t="shared" ca="1" si="3"/>
        <v>1.2246840660865497</v>
      </c>
      <c r="W25" s="304">
        <f t="shared" ca="1" si="4"/>
        <v>2.6826510956091272</v>
      </c>
      <c r="Y25" s="314" t="str">
        <f t="shared" ca="1" si="22"/>
        <v/>
      </c>
      <c r="Z25" s="315" t="str">
        <f t="shared" ca="1" si="23"/>
        <v/>
      </c>
      <c r="AA25" s="316" t="str">
        <f t="shared" ca="1" si="24"/>
        <v/>
      </c>
      <c r="AC25" s="310" t="e">
        <f t="shared" ca="1" si="25"/>
        <v>#N/A</v>
      </c>
      <c r="AD25" s="323" t="e">
        <f t="shared" ca="1" si="26"/>
        <v>#N/A</v>
      </c>
      <c r="AE25" s="324">
        <f t="shared" ca="1" si="5"/>
        <v>2.5793849731424268</v>
      </c>
      <c r="AG25" s="306">
        <f t="shared" ca="1" si="27"/>
        <v>137.37229587050075</v>
      </c>
      <c r="AH25" s="304">
        <f t="shared" ca="1" si="28"/>
        <v>147.03325992755052</v>
      </c>
    </row>
    <row r="26" spans="1:34" x14ac:dyDescent="0.3">
      <c r="A26" s="347">
        <f t="shared" ca="1" si="6"/>
        <v>0.01</v>
      </c>
      <c r="B26" s="304">
        <f t="shared" ca="1" si="7"/>
        <v>0.22000000000000006</v>
      </c>
      <c r="D26" s="306">
        <f t="shared" ca="1" si="8"/>
        <v>23.88597962238336</v>
      </c>
      <c r="E26" s="307">
        <f t="shared" ca="1" si="9"/>
        <v>135.4712339929921</v>
      </c>
      <c r="F26" s="304">
        <f t="shared" ca="1" si="10"/>
        <v>137.56087838518962</v>
      </c>
      <c r="G26" s="306">
        <f t="shared" ca="1" si="11"/>
        <v>4.8491359459063315</v>
      </c>
      <c r="H26" s="307">
        <f t="shared" ca="1" si="12"/>
        <v>27.502266336786573</v>
      </c>
      <c r="I26" s="304">
        <f t="shared" ca="1" si="13"/>
        <v>27.926488735274702</v>
      </c>
      <c r="J26" s="306">
        <f t="shared" ca="1" si="14"/>
        <v>0.5020881420071035</v>
      </c>
      <c r="K26" s="307">
        <f t="shared" ca="1" si="15"/>
        <v>2.8476340748106428</v>
      </c>
      <c r="L26" s="304">
        <f t="shared" ca="1" si="0"/>
        <v>2.8915588056214268</v>
      </c>
      <c r="M26" s="306">
        <f t="shared" ca="1" si="16"/>
        <v>1.3962634015954636</v>
      </c>
      <c r="N26" s="304">
        <f t="shared" ca="1" si="17"/>
        <v>80</v>
      </c>
      <c r="P26" s="310">
        <f t="shared" ca="1" si="18"/>
        <v>6</v>
      </c>
      <c r="Q26" s="304">
        <f t="shared" ca="1" si="19"/>
        <v>1312.89</v>
      </c>
      <c r="R26" s="306">
        <f t="shared" ca="1" si="20"/>
        <v>0.64519582679362963</v>
      </c>
      <c r="S26" s="307">
        <f t="shared" ca="1" si="21"/>
        <v>8.8995445731347278</v>
      </c>
      <c r="T26" s="304">
        <f t="shared" ca="1" si="1"/>
        <v>87.304532262451687</v>
      </c>
      <c r="U26" s="311">
        <f t="shared" ca="1" si="2"/>
        <v>15.160272929438468</v>
      </c>
      <c r="V26" s="306">
        <f t="shared" ca="1" si="3"/>
        <v>1.2246512144865116</v>
      </c>
      <c r="W26" s="304">
        <f t="shared" ca="1" si="4"/>
        <v>2.967750402885609</v>
      </c>
      <c r="Y26" s="314" t="str">
        <f t="shared" ca="1" si="22"/>
        <v/>
      </c>
      <c r="Z26" s="315" t="str">
        <f t="shared" ca="1" si="23"/>
        <v/>
      </c>
      <c r="AA26" s="316" t="str">
        <f t="shared" ca="1" si="24"/>
        <v/>
      </c>
      <c r="AC26" s="310" t="e">
        <f t="shared" ca="1" si="25"/>
        <v>#N/A</v>
      </c>
      <c r="AD26" s="323" t="e">
        <f t="shared" ca="1" si="26"/>
        <v>#N/A</v>
      </c>
      <c r="AE26" s="324">
        <f t="shared" ca="1" si="5"/>
        <v>2.8476340748106428</v>
      </c>
      <c r="AG26" s="306">
        <f t="shared" ca="1" si="27"/>
        <v>137.56087837964591</v>
      </c>
      <c r="AH26" s="304">
        <f t="shared" ca="1" si="28"/>
        <v>147.22184243669568</v>
      </c>
    </row>
    <row r="27" spans="1:34" x14ac:dyDescent="0.3">
      <c r="A27" s="347">
        <f t="shared" ca="1" si="6"/>
        <v>0.01</v>
      </c>
      <c r="B27" s="304">
        <f t="shared" ca="1" si="7"/>
        <v>0.23000000000000007</v>
      </c>
      <c r="D27" s="306">
        <f t="shared" ca="1" si="8"/>
        <v>23.918498563073978</v>
      </c>
      <c r="E27" s="307">
        <f t="shared" ca="1" si="9"/>
        <v>135.65566865484377</v>
      </c>
      <c r="F27" s="304">
        <f t="shared" ca="1" si="10"/>
        <v>137.74815792490486</v>
      </c>
      <c r="G27" s="306">
        <f t="shared" ca="1" si="11"/>
        <v>5.088320931537071</v>
      </c>
      <c r="H27" s="307">
        <f t="shared" ca="1" si="12"/>
        <v>28.85882302333501</v>
      </c>
      <c r="I27" s="304">
        <f t="shared" ca="1" si="13"/>
        <v>29.303970314523749</v>
      </c>
      <c r="J27" s="306">
        <f t="shared" ca="1" si="14"/>
        <v>0.55177542639432053</v>
      </c>
      <c r="K27" s="307">
        <f t="shared" ca="1" si="15"/>
        <v>3.1294395216112507</v>
      </c>
      <c r="L27" s="304">
        <f t="shared" ca="1" si="0"/>
        <v>3.1777111008704186</v>
      </c>
      <c r="M27" s="306">
        <f t="shared" ca="1" si="16"/>
        <v>1.3962634015954636</v>
      </c>
      <c r="N27" s="304">
        <f t="shared" ca="1" si="17"/>
        <v>80</v>
      </c>
      <c r="P27" s="310">
        <f t="shared" ca="1" si="18"/>
        <v>6</v>
      </c>
      <c r="Q27" s="304">
        <f t="shared" ca="1" si="19"/>
        <v>1313.89</v>
      </c>
      <c r="R27" s="306">
        <f t="shared" ca="1" si="20"/>
        <v>0.64568725854099129</v>
      </c>
      <c r="S27" s="307">
        <f t="shared" ca="1" si="21"/>
        <v>8.8930877005493176</v>
      </c>
      <c r="T27" s="304">
        <f t="shared" ca="1" si="1"/>
        <v>87.241190342388805</v>
      </c>
      <c r="U27" s="311">
        <f t="shared" ca="1" si="2"/>
        <v>15.149273720449624</v>
      </c>
      <c r="V27" s="306">
        <f t="shared" ca="1" si="3"/>
        <v>1.2246167036337428</v>
      </c>
      <c r="W27" s="304">
        <f t="shared" ca="1" si="4"/>
        <v>3.2676489774087463</v>
      </c>
      <c r="Y27" s="314" t="str">
        <f t="shared" ca="1" si="22"/>
        <v/>
      </c>
      <c r="Z27" s="315" t="str">
        <f t="shared" ca="1" si="23"/>
        <v/>
      </c>
      <c r="AA27" s="316" t="str">
        <f t="shared" ca="1" si="24"/>
        <v/>
      </c>
      <c r="AC27" s="310" t="e">
        <f t="shared" ca="1" si="25"/>
        <v>#N/A</v>
      </c>
      <c r="AD27" s="323" t="e">
        <f t="shared" ca="1" si="26"/>
        <v>#N/A</v>
      </c>
      <c r="AE27" s="324">
        <f t="shared" ca="1" si="5"/>
        <v>3.1294395216112507</v>
      </c>
      <c r="AG27" s="306">
        <f t="shared" ca="1" si="27"/>
        <v>137.7481579193522</v>
      </c>
      <c r="AH27" s="304">
        <f t="shared" ca="1" si="28"/>
        <v>147.40912197640196</v>
      </c>
    </row>
    <row r="28" spans="1:34" x14ac:dyDescent="0.3">
      <c r="A28" s="347">
        <f t="shared" ca="1" si="6"/>
        <v>0.01</v>
      </c>
      <c r="B28" s="304">
        <f t="shared" ca="1" si="7"/>
        <v>0.24000000000000007</v>
      </c>
      <c r="D28" s="306">
        <f t="shared" ca="1" si="8"/>
        <v>23.95078974833881</v>
      </c>
      <c r="E28" s="307">
        <f t="shared" ca="1" si="9"/>
        <v>135.83881167081586</v>
      </c>
      <c r="F28" s="304">
        <f t="shared" ca="1" si="10"/>
        <v>137.93412589242922</v>
      </c>
      <c r="G28" s="306">
        <f t="shared" ca="1" si="11"/>
        <v>5.3278288290204587</v>
      </c>
      <c r="H28" s="307">
        <f t="shared" ca="1" si="12"/>
        <v>30.217211140043169</v>
      </c>
      <c r="I28" s="304">
        <f t="shared" ca="1" si="13"/>
        <v>30.683311573448041</v>
      </c>
      <c r="J28" s="306">
        <f t="shared" ca="1" si="14"/>
        <v>0.60385617519710821</v>
      </c>
      <c r="K28" s="307">
        <f t="shared" ca="1" si="15"/>
        <v>3.4248196924281418</v>
      </c>
      <c r="L28" s="304">
        <f t="shared" ca="1" si="0"/>
        <v>3.4776475103102777</v>
      </c>
      <c r="M28" s="306">
        <f t="shared" ca="1" si="16"/>
        <v>1.3962634015954636</v>
      </c>
      <c r="N28" s="304">
        <f t="shared" ca="1" si="17"/>
        <v>80</v>
      </c>
      <c r="P28" s="310">
        <f t="shared" ca="1" si="18"/>
        <v>6</v>
      </c>
      <c r="Q28" s="304">
        <f t="shared" ca="1" si="19"/>
        <v>1314.89</v>
      </c>
      <c r="R28" s="306">
        <f t="shared" ca="1" si="20"/>
        <v>0.64617869028835295</v>
      </c>
      <c r="S28" s="307">
        <f t="shared" ca="1" si="21"/>
        <v>8.8866259136464336</v>
      </c>
      <c r="T28" s="304">
        <f t="shared" ca="1" si="1"/>
        <v>87.177800212871517</v>
      </c>
      <c r="U28" s="311">
        <f t="shared" ca="1" si="2"/>
        <v>15.138266139976878</v>
      </c>
      <c r="V28" s="306">
        <f t="shared" ca="1" si="3"/>
        <v>1.2245805314178908</v>
      </c>
      <c r="W28" s="304">
        <f t="shared" ca="1" si="4"/>
        <v>3.5824001757093225</v>
      </c>
      <c r="Y28" s="314" t="str">
        <f t="shared" ca="1" si="22"/>
        <v/>
      </c>
      <c r="Z28" s="315" t="str">
        <f t="shared" ca="1" si="23"/>
        <v/>
      </c>
      <c r="AA28" s="316" t="str">
        <f t="shared" ca="1" si="24"/>
        <v/>
      </c>
      <c r="AC28" s="310" t="e">
        <f t="shared" ca="1" si="25"/>
        <v>#N/A</v>
      </c>
      <c r="AD28" s="323" t="e">
        <f t="shared" ca="1" si="26"/>
        <v>#N/A</v>
      </c>
      <c r="AE28" s="324">
        <f t="shared" ca="1" si="5"/>
        <v>3.4248196924281418</v>
      </c>
      <c r="AG28" s="306">
        <f t="shared" ca="1" si="27"/>
        <v>137.93412588686749</v>
      </c>
      <c r="AH28" s="304">
        <f t="shared" ca="1" si="28"/>
        <v>147.59508994391726</v>
      </c>
    </row>
    <row r="29" spans="1:34" x14ac:dyDescent="0.3">
      <c r="A29" s="347">
        <f t="shared" ca="1" si="6"/>
        <v>0.01</v>
      </c>
      <c r="B29" s="304">
        <f t="shared" ca="1" si="7"/>
        <v>0.25000000000000006</v>
      </c>
      <c r="D29" s="306">
        <f t="shared" ca="1" si="8"/>
        <v>23.982851691231762</v>
      </c>
      <c r="E29" s="307">
        <f t="shared" ca="1" si="9"/>
        <v>136.02065460807785</v>
      </c>
      <c r="F29" s="304">
        <f t="shared" ca="1" si="10"/>
        <v>138.11877372484028</v>
      </c>
      <c r="G29" s="306">
        <f t="shared" ca="1" si="11"/>
        <v>5.5676573459327763</v>
      </c>
      <c r="H29" s="307">
        <f t="shared" ca="1" si="12"/>
        <v>31.577417686123948</v>
      </c>
      <c r="I29" s="304">
        <f t="shared" ca="1" si="13"/>
        <v>32.064499310696448</v>
      </c>
      <c r="J29" s="306">
        <f t="shared" ca="1" si="14"/>
        <v>0.65833360607187441</v>
      </c>
      <c r="K29" s="307">
        <f t="shared" ca="1" si="15"/>
        <v>3.7337928365589774</v>
      </c>
      <c r="L29" s="304">
        <f t="shared" ca="1" si="0"/>
        <v>3.7913865647309999</v>
      </c>
      <c r="M29" s="306">
        <f t="shared" ca="1" si="16"/>
        <v>1.3962634015954636</v>
      </c>
      <c r="N29" s="304">
        <f t="shared" ca="1" si="17"/>
        <v>80</v>
      </c>
      <c r="P29" s="310">
        <f t="shared" ca="1" si="18"/>
        <v>6</v>
      </c>
      <c r="Q29" s="304">
        <f t="shared" ca="1" si="19"/>
        <v>1315.89</v>
      </c>
      <c r="R29" s="306">
        <f t="shared" ca="1" si="20"/>
        <v>0.64667012203571461</v>
      </c>
      <c r="S29" s="307">
        <f t="shared" ca="1" si="21"/>
        <v>8.8801592124260758</v>
      </c>
      <c r="T29" s="304">
        <f t="shared" ca="1" si="1"/>
        <v>87.11436187389981</v>
      </c>
      <c r="U29" s="311">
        <f t="shared" ca="1" si="2"/>
        <v>15.127250188020223</v>
      </c>
      <c r="V29" s="306">
        <f t="shared" ca="1" si="3"/>
        <v>1.2245426957514878</v>
      </c>
      <c r="W29" s="304">
        <f t="shared" ca="1" si="4"/>
        <v>3.9120567324878714</v>
      </c>
      <c r="Y29" s="314" t="str">
        <f t="shared" ca="1" si="22"/>
        <v>Sortie de rampe</v>
      </c>
      <c r="Z29" s="315" t="str">
        <f t="shared" ca="1" si="23"/>
        <v/>
      </c>
      <c r="AA29" s="316" t="str">
        <f t="shared" ca="1" si="24"/>
        <v/>
      </c>
      <c r="AC29" s="310" t="e">
        <f t="shared" ca="1" si="25"/>
        <v>#N/A</v>
      </c>
      <c r="AD29" s="323" t="e">
        <f t="shared" ca="1" si="26"/>
        <v>#N/A</v>
      </c>
      <c r="AE29" s="324">
        <f t="shared" ca="1" si="5"/>
        <v>3.7337928365589774</v>
      </c>
      <c r="AG29" s="306">
        <f t="shared" ca="1" si="27"/>
        <v>138.11877371926943</v>
      </c>
      <c r="AH29" s="304">
        <f t="shared" ca="1" si="28"/>
        <v>147.77973777631919</v>
      </c>
    </row>
    <row r="30" spans="1:34" x14ac:dyDescent="0.3">
      <c r="A30" s="347">
        <f t="shared" ca="1" si="6"/>
        <v>0.01</v>
      </c>
      <c r="B30" s="304">
        <f t="shared" ca="1" si="7"/>
        <v>0.26000000000000006</v>
      </c>
      <c r="D30" s="306">
        <f t="shared" ca="1" si="8"/>
        <v>24.01468291188073</v>
      </c>
      <c r="E30" s="307">
        <f t="shared" ca="1" si="9"/>
        <v>136.20118907391799</v>
      </c>
      <c r="F30" s="304">
        <f t="shared" ca="1" si="10"/>
        <v>138.30209289995338</v>
      </c>
      <c r="G30" s="306">
        <f t="shared" ca="1" si="11"/>
        <v>5.8078041750515839</v>
      </c>
      <c r="H30" s="307">
        <f t="shared" ca="1" si="12"/>
        <v>32.939429576863127</v>
      </c>
      <c r="I30" s="304">
        <f t="shared" ca="1" si="13"/>
        <v>33.447520239695976</v>
      </c>
      <c r="J30" s="306">
        <f t="shared" ca="1" si="14"/>
        <v>0.71521091367679623</v>
      </c>
      <c r="K30" s="307">
        <f t="shared" ca="1" si="15"/>
        <v>4.0563770728739126</v>
      </c>
      <c r="L30" s="304">
        <f t="shared" ca="1" si="0"/>
        <v>4.118946662482962</v>
      </c>
      <c r="M30" s="306">
        <f t="shared" ca="1" si="16"/>
        <v>1.3962634015954636</v>
      </c>
      <c r="N30" s="304">
        <f t="shared" ca="1" si="17"/>
        <v>80</v>
      </c>
      <c r="P30" s="310">
        <f t="shared" ca="1" si="18"/>
        <v>6</v>
      </c>
      <c r="Q30" s="304">
        <f t="shared" ca="1" si="19"/>
        <v>1316.89</v>
      </c>
      <c r="R30" s="306">
        <f t="shared" ca="1" si="20"/>
        <v>0.64716155378307627</v>
      </c>
      <c r="S30" s="307">
        <f t="shared" ca="1" si="21"/>
        <v>8.8736875968882458</v>
      </c>
      <c r="T30" s="304">
        <f t="shared" ca="1" si="1"/>
        <v>87.050875325473697</v>
      </c>
      <c r="U30" s="311">
        <f t="shared" ca="1" si="2"/>
        <v>0</v>
      </c>
      <c r="V30" s="306">
        <f t="shared" ca="1" si="3"/>
        <v>1.2245031945700808</v>
      </c>
      <c r="W30" s="304">
        <f t="shared" ca="1" si="4"/>
        <v>4.2566707534600505</v>
      </c>
      <c r="Y30" s="314" t="str">
        <f t="shared" ca="1" si="22"/>
        <v/>
      </c>
      <c r="Z30" s="315" t="str">
        <f t="shared" ca="1" si="23"/>
        <v/>
      </c>
      <c r="AA30" s="316" t="str">
        <f t="shared" ca="1" si="24"/>
        <v/>
      </c>
      <c r="AC30" s="310" t="e">
        <f t="shared" ca="1" si="25"/>
        <v>#N/A</v>
      </c>
      <c r="AD30" s="323" t="e">
        <f t="shared" ca="1" si="26"/>
        <v>#N/A</v>
      </c>
      <c r="AE30" s="324">
        <f t="shared" ca="1" si="5"/>
        <v>4.0563770728739126</v>
      </c>
      <c r="AG30" s="306">
        <f t="shared" ca="1" si="27"/>
        <v>138.30209289437332</v>
      </c>
      <c r="AH30" s="304">
        <f t="shared" ca="1" si="28"/>
        <v>147.96305695142308</v>
      </c>
    </row>
    <row r="31" spans="1:34" x14ac:dyDescent="0.3">
      <c r="A31" s="347">
        <f t="shared" ca="1" si="6"/>
        <v>0.01</v>
      </c>
      <c r="B31" s="304">
        <f t="shared" ca="1" si="7"/>
        <v>0.27000000000000007</v>
      </c>
      <c r="D31" s="306">
        <f t="shared" ca="1" si="8"/>
        <v>25.725116050782404</v>
      </c>
      <c r="E31" s="307">
        <f t="shared" ca="1" si="9"/>
        <v>136.08438296635791</v>
      </c>
      <c r="F31" s="304">
        <f t="shared" ca="1" si="10"/>
        <v>138.4945518176097</v>
      </c>
      <c r="G31" s="306">
        <f t="shared" ca="1" si="11"/>
        <v>6.0650553355594079</v>
      </c>
      <c r="H31" s="307">
        <f t="shared" ca="1" si="12"/>
        <v>34.300273406526706</v>
      </c>
      <c r="I31" s="304">
        <f t="shared" ca="1" si="13"/>
        <v>34.832365007071814</v>
      </c>
      <c r="J31" s="306">
        <f t="shared" ca="1" si="14"/>
        <v>0.77457521122985118</v>
      </c>
      <c r="K31" s="307">
        <f t="shared" ca="1" si="15"/>
        <v>4.3925755877908621</v>
      </c>
      <c r="L31" s="304">
        <f t="shared" ca="1" si="0"/>
        <v>4.4603460686709058</v>
      </c>
      <c r="M31" s="306">
        <f t="shared" ca="1" si="16"/>
        <v>1.3957829993308923</v>
      </c>
      <c r="N31" s="304">
        <f t="shared" ca="1" si="17"/>
        <v>79.97247497777154</v>
      </c>
      <c r="P31" s="310">
        <f t="shared" ca="1" si="18"/>
        <v>6</v>
      </c>
      <c r="Q31" s="304">
        <f t="shared" ca="1" si="19"/>
        <v>1317.89</v>
      </c>
      <c r="R31" s="306">
        <f t="shared" ca="1" si="20"/>
        <v>0.64765298553043793</v>
      </c>
      <c r="S31" s="307">
        <f t="shared" ca="1" si="21"/>
        <v>8.867211067032942</v>
      </c>
      <c r="T31" s="304">
        <f t="shared" ca="1" si="1"/>
        <v>86.987340567593165</v>
      </c>
      <c r="U31" s="311">
        <f t="shared" ca="1" si="2"/>
        <v>0</v>
      </c>
      <c r="V31" s="306">
        <f t="shared" ca="1" si="3"/>
        <v>1.2244620276447076</v>
      </c>
      <c r="W31" s="304">
        <f t="shared" ca="1" si="4"/>
        <v>4.6162947800750445</v>
      </c>
      <c r="Y31" s="314" t="str">
        <f t="shared" ca="1" si="22"/>
        <v/>
      </c>
      <c r="Z31" s="315" t="str">
        <f t="shared" ca="1" si="23"/>
        <v/>
      </c>
      <c r="AA31" s="316" t="str">
        <f t="shared" ca="1" si="24"/>
        <v/>
      </c>
      <c r="AC31" s="310" t="e">
        <f t="shared" ca="1" si="25"/>
        <v>#N/A</v>
      </c>
      <c r="AD31" s="323" t="e">
        <f t="shared" ca="1" si="26"/>
        <v>#N/A</v>
      </c>
      <c r="AE31" s="324">
        <f t="shared" ca="1" si="5"/>
        <v>4.3925755877908621</v>
      </c>
      <c r="AG31" s="306">
        <f t="shared" ca="1" si="27"/>
        <v>138.48407493164041</v>
      </c>
      <c r="AH31" s="304">
        <f t="shared" ca="1" si="28"/>
        <v>148.14503898869017</v>
      </c>
    </row>
    <row r="32" spans="1:34" x14ac:dyDescent="0.3">
      <c r="A32" s="347">
        <f t="shared" ca="1" si="6"/>
        <v>0.01</v>
      </c>
      <c r="B32" s="304">
        <f t="shared" ca="1" si="7"/>
        <v>0.28000000000000008</v>
      </c>
      <c r="D32" s="306">
        <f t="shared" ca="1" si="8"/>
        <v>25.826653699023879</v>
      </c>
      <c r="E32" s="307">
        <f t="shared" ca="1" si="9"/>
        <v>136.24988470680566</v>
      </c>
      <c r="F32" s="304">
        <f t="shared" ca="1" si="10"/>
        <v>138.67605101064547</v>
      </c>
      <c r="G32" s="306">
        <f t="shared" ca="1" si="11"/>
        <v>6.3233218725496467</v>
      </c>
      <c r="H32" s="307">
        <f t="shared" ca="1" si="12"/>
        <v>35.66277225359476</v>
      </c>
      <c r="I32" s="304">
        <f t="shared" ca="1" si="13"/>
        <v>36.219024342403721</v>
      </c>
      <c r="J32" s="306">
        <f t="shared" ca="1" si="14"/>
        <v>0.83651709727039647</v>
      </c>
      <c r="K32" s="307">
        <f t="shared" ca="1" si="15"/>
        <v>4.7423908160914694</v>
      </c>
      <c r="L32" s="304">
        <f t="shared" ca="1" si="0"/>
        <v>4.8156029224360273</v>
      </c>
      <c r="M32" s="306">
        <f t="shared" ca="1" si="16"/>
        <v>1.3953113881625887</v>
      </c>
      <c r="N32" s="304">
        <f t="shared" ca="1" si="17"/>
        <v>79.945453648256503</v>
      </c>
      <c r="P32" s="310">
        <f t="shared" ca="1" si="18"/>
        <v>6</v>
      </c>
      <c r="Q32" s="304">
        <f t="shared" ca="1" si="19"/>
        <v>1318.89</v>
      </c>
      <c r="R32" s="306">
        <f t="shared" ca="1" si="20"/>
        <v>0.64814441727779959</v>
      </c>
      <c r="S32" s="307">
        <f t="shared" ca="1" si="21"/>
        <v>8.8607296228601644</v>
      </c>
      <c r="T32" s="304">
        <f t="shared" ca="1" si="1"/>
        <v>86.923757600258213</v>
      </c>
      <c r="U32" s="311">
        <f t="shared" ca="1" si="2"/>
        <v>0</v>
      </c>
      <c r="V32" s="306">
        <f t="shared" ca="1" si="3"/>
        <v>1.2244191948452803</v>
      </c>
      <c r="W32" s="304">
        <f t="shared" ca="1" si="4"/>
        <v>4.9909809286793347</v>
      </c>
      <c r="Y32" s="314" t="str">
        <f t="shared" ca="1" si="22"/>
        <v/>
      </c>
      <c r="Z32" s="315" t="str">
        <f t="shared" ca="1" si="23"/>
        <v/>
      </c>
      <c r="AA32" s="316" t="str">
        <f t="shared" ca="1" si="24"/>
        <v/>
      </c>
      <c r="AC32" s="310" t="e">
        <f t="shared" ca="1" si="25"/>
        <v>#N/A</v>
      </c>
      <c r="AD32" s="323" t="e">
        <f t="shared" ca="1" si="26"/>
        <v>#N/A</v>
      </c>
      <c r="AE32" s="324">
        <f t="shared" ca="1" si="5"/>
        <v>4.7423908160914694</v>
      </c>
      <c r="AG32" s="306">
        <f t="shared" ca="1" si="27"/>
        <v>138.66553074669116</v>
      </c>
      <c r="AH32" s="304">
        <f t="shared" ca="1" si="28"/>
        <v>148.32567532917105</v>
      </c>
    </row>
    <row r="33" spans="1:34" x14ac:dyDescent="0.3">
      <c r="A33" s="347">
        <f t="shared" ca="1" si="6"/>
        <v>0.01</v>
      </c>
      <c r="B33" s="304">
        <f t="shared" ca="1" si="7"/>
        <v>0.29000000000000009</v>
      </c>
      <c r="D33" s="306">
        <f t="shared" ca="1" si="8"/>
        <v>25.926834379547909</v>
      </c>
      <c r="E33" s="307">
        <f t="shared" ca="1" si="9"/>
        <v>136.41421701295869</v>
      </c>
      <c r="F33" s="304">
        <f t="shared" ca="1" si="10"/>
        <v>138.85618223256427</v>
      </c>
      <c r="G33" s="306">
        <f t="shared" ca="1" si="11"/>
        <v>6.5825902163451255</v>
      </c>
      <c r="H33" s="307">
        <f t="shared" ca="1" si="12"/>
        <v>37.026914423724349</v>
      </c>
      <c r="I33" s="304">
        <f t="shared" ca="1" si="13"/>
        <v>37.607484437251699</v>
      </c>
      <c r="J33" s="306">
        <f t="shared" ca="1" si="14"/>
        <v>0.90104665771487036</v>
      </c>
      <c r="K33" s="307">
        <f t="shared" ca="1" si="15"/>
        <v>5.1058392494780653</v>
      </c>
      <c r="L33" s="304">
        <f t="shared" ca="1" si="0"/>
        <v>5.1847352411564733</v>
      </c>
      <c r="M33" s="306">
        <f t="shared" ca="1" si="16"/>
        <v>1.3948559774107268</v>
      </c>
      <c r="N33" s="304">
        <f t="shared" ca="1" si="17"/>
        <v>79.919360534229938</v>
      </c>
      <c r="P33" s="310">
        <f t="shared" ca="1" si="18"/>
        <v>6</v>
      </c>
      <c r="Q33" s="304">
        <f t="shared" ca="1" si="19"/>
        <v>1319.89</v>
      </c>
      <c r="R33" s="306">
        <f t="shared" ca="1" si="20"/>
        <v>0.64863584902516114</v>
      </c>
      <c r="S33" s="307">
        <f t="shared" ca="1" si="21"/>
        <v>8.8542432643699129</v>
      </c>
      <c r="T33" s="304">
        <f t="shared" ca="1" si="1"/>
        <v>86.860126423468856</v>
      </c>
      <c r="U33" s="311">
        <f t="shared" ca="1" si="2"/>
        <v>0</v>
      </c>
      <c r="V33" s="306">
        <f t="shared" ca="1" si="3"/>
        <v>1.2243746943274512</v>
      </c>
      <c r="W33" s="304">
        <f t="shared" ca="1" si="4"/>
        <v>5.3807795627513375</v>
      </c>
      <c r="Y33" s="314" t="str">
        <f t="shared" ca="1" si="22"/>
        <v/>
      </c>
      <c r="Z33" s="315" t="str">
        <f t="shared" ca="1" si="23"/>
        <v/>
      </c>
      <c r="AA33" s="316" t="str">
        <f t="shared" ca="1" si="24"/>
        <v/>
      </c>
      <c r="AC33" s="310" t="e">
        <f t="shared" ca="1" si="25"/>
        <v>#N/A</v>
      </c>
      <c r="AD33" s="323" t="e">
        <f t="shared" ca="1" si="26"/>
        <v>#N/A</v>
      </c>
      <c r="AE33" s="324">
        <f t="shared" ca="1" si="5"/>
        <v>5.1058392494780653</v>
      </c>
      <c r="AG33" s="306">
        <f t="shared" ca="1" si="27"/>
        <v>138.84561949716007</v>
      </c>
      <c r="AH33" s="304">
        <f t="shared" ca="1" si="28"/>
        <v>148.50495743239463</v>
      </c>
    </row>
    <row r="34" spans="1:34" x14ac:dyDescent="0.3">
      <c r="A34" s="347">
        <f t="shared" ca="1" si="6"/>
        <v>0.01</v>
      </c>
      <c r="B34" s="304">
        <f t="shared" ca="1" si="7"/>
        <v>0.3000000000000001</v>
      </c>
      <c r="D34" s="306">
        <f t="shared" ca="1" si="8"/>
        <v>26.024565738427267</v>
      </c>
      <c r="E34" s="307">
        <f t="shared" ca="1" si="9"/>
        <v>136.57756733156683</v>
      </c>
      <c r="F34" s="304">
        <f t="shared" ca="1" si="10"/>
        <v>139.03492338287668</v>
      </c>
      <c r="G34" s="306">
        <f t="shared" ca="1" si="11"/>
        <v>6.8428358737293982</v>
      </c>
      <c r="H34" s="307">
        <f t="shared" ca="1" si="12"/>
        <v>38.392690097040017</v>
      </c>
      <c r="I34" s="304">
        <f t="shared" ca="1" si="13"/>
        <v>38.997731417124157</v>
      </c>
      <c r="J34" s="306">
        <f t="shared" ca="1" si="14"/>
        <v>0.96817378816524302</v>
      </c>
      <c r="K34" s="307">
        <f t="shared" ca="1" si="15"/>
        <v>5.4829372720818874</v>
      </c>
      <c r="L34" s="304">
        <f t="shared" ca="1" si="0"/>
        <v>5.5677609156352075</v>
      </c>
      <c r="M34" s="306">
        <f t="shared" ca="1" si="16"/>
        <v>1.3944156738343907</v>
      </c>
      <c r="N34" s="304">
        <f t="shared" ca="1" si="17"/>
        <v>79.894132997601361</v>
      </c>
      <c r="P34" s="310">
        <f t="shared" ca="1" si="18"/>
        <v>6</v>
      </c>
      <c r="Q34" s="304">
        <f t="shared" ca="1" si="19"/>
        <v>1320.89</v>
      </c>
      <c r="R34" s="306">
        <f t="shared" ca="1" si="20"/>
        <v>0.6491272807725228</v>
      </c>
      <c r="S34" s="307">
        <f t="shared" ca="1" si="21"/>
        <v>8.8477519915621876</v>
      </c>
      <c r="T34" s="304">
        <f t="shared" ca="1" si="1"/>
        <v>86.796447037225064</v>
      </c>
      <c r="U34" s="311">
        <f t="shared" ca="1" si="2"/>
        <v>0</v>
      </c>
      <c r="V34" s="306">
        <f t="shared" ca="1" si="3"/>
        <v>1.2243285242671362</v>
      </c>
      <c r="W34" s="304">
        <f t="shared" ca="1" si="4"/>
        <v>5.7857403834384806</v>
      </c>
      <c r="Y34" s="314" t="str">
        <f t="shared" ca="1" si="22"/>
        <v/>
      </c>
      <c r="Z34" s="315" t="str">
        <f t="shared" ca="1" si="23"/>
        <v/>
      </c>
      <c r="AA34" s="316" t="str">
        <f t="shared" ca="1" si="24"/>
        <v/>
      </c>
      <c r="AC34" s="310" t="e">
        <f t="shared" ca="1" si="25"/>
        <v>#N/A</v>
      </c>
      <c r="AD34" s="323" t="e">
        <f t="shared" ca="1" si="26"/>
        <v>#N/A</v>
      </c>
      <c r="AE34" s="324">
        <f t="shared" ca="1" si="5"/>
        <v>5.4829372720818874</v>
      </c>
      <c r="AG34" s="306">
        <f t="shared" ca="1" si="27"/>
        <v>139.02431996812541</v>
      </c>
      <c r="AH34" s="304">
        <f t="shared" ca="1" si="28"/>
        <v>148.68287692645623</v>
      </c>
    </row>
    <row r="35" spans="1:34" x14ac:dyDescent="0.3">
      <c r="A35" s="347">
        <f t="shared" ca="1" si="6"/>
        <v>0.01</v>
      </c>
      <c r="B35" s="304">
        <f t="shared" ca="1" si="7"/>
        <v>0.31000000000000011</v>
      </c>
      <c r="D35" s="306">
        <f t="shared" ca="1" si="8"/>
        <v>26.119996723857827</v>
      </c>
      <c r="E35" s="307">
        <f t="shared" ca="1" si="9"/>
        <v>136.7399038789938</v>
      </c>
      <c r="F35" s="304">
        <f t="shared" ca="1" si="10"/>
        <v>139.2122679281205</v>
      </c>
      <c r="G35" s="306">
        <f t="shared" ca="1" si="11"/>
        <v>7.1040358409679767</v>
      </c>
      <c r="H35" s="307">
        <f t="shared" ca="1" si="12"/>
        <v>39.760089135829958</v>
      </c>
      <c r="I35" s="304">
        <f t="shared" ca="1" si="13"/>
        <v>40.38975134014693</v>
      </c>
      <c r="J35" s="306">
        <f t="shared" ca="1" si="14"/>
        <v>1.0379081467387299</v>
      </c>
      <c r="K35" s="307">
        <f t="shared" ca="1" si="15"/>
        <v>5.873701168246237</v>
      </c>
      <c r="L35" s="304">
        <f t="shared" ca="1" si="0"/>
        <v>5.9646977069189218</v>
      </c>
      <c r="M35" s="306">
        <f t="shared" ca="1" si="16"/>
        <v>1.3939894923078158</v>
      </c>
      <c r="N35" s="304">
        <f t="shared" ca="1" si="17"/>
        <v>79.869714594822184</v>
      </c>
      <c r="P35" s="310">
        <f t="shared" ca="1" si="18"/>
        <v>6</v>
      </c>
      <c r="Q35" s="304">
        <f t="shared" ca="1" si="19"/>
        <v>1321.89</v>
      </c>
      <c r="R35" s="306">
        <f t="shared" ca="1" si="20"/>
        <v>0.64961871251988446</v>
      </c>
      <c r="S35" s="307">
        <f t="shared" ca="1" si="21"/>
        <v>8.8412558044369884</v>
      </c>
      <c r="T35" s="304">
        <f t="shared" ca="1" si="1"/>
        <v>86.732719441526868</v>
      </c>
      <c r="U35" s="311">
        <f t="shared" ca="1" si="2"/>
        <v>0</v>
      </c>
      <c r="V35" s="306">
        <f t="shared" ca="1" si="3"/>
        <v>1.2242806828595865</v>
      </c>
      <c r="W35" s="304">
        <f t="shared" ca="1" si="4"/>
        <v>6.2059124229416822</v>
      </c>
      <c r="Y35" s="314" t="str">
        <f t="shared" ca="1" si="22"/>
        <v/>
      </c>
      <c r="Z35" s="315" t="str">
        <f t="shared" ca="1" si="23"/>
        <v/>
      </c>
      <c r="AA35" s="316" t="str">
        <f t="shared" ca="1" si="24"/>
        <v/>
      </c>
      <c r="AC35" s="310" t="e">
        <f t="shared" ca="1" si="25"/>
        <v>#N/A</v>
      </c>
      <c r="AD35" s="323" t="e">
        <f t="shared" ca="1" si="26"/>
        <v>#N/A</v>
      </c>
      <c r="AE35" s="324">
        <f t="shared" ca="1" si="5"/>
        <v>5.873701168246237</v>
      </c>
      <c r="AG35" s="306">
        <f t="shared" ca="1" si="27"/>
        <v>139.20162550135538</v>
      </c>
      <c r="AH35" s="304">
        <f t="shared" ca="1" si="28"/>
        <v>148.85942548524318</v>
      </c>
    </row>
    <row r="36" spans="1:34" x14ac:dyDescent="0.3">
      <c r="A36" s="347">
        <f t="shared" ca="1" si="6"/>
        <v>0.01</v>
      </c>
      <c r="B36" s="304">
        <f t="shared" ca="1" si="7"/>
        <v>0.32000000000000012</v>
      </c>
      <c r="D36" s="306">
        <f t="shared" ca="1" si="8"/>
        <v>26.213261237861218</v>
      </c>
      <c r="E36" s="307">
        <f t="shared" ca="1" si="9"/>
        <v>136.90119722506142</v>
      </c>
      <c r="F36" s="304">
        <f t="shared" ca="1" si="10"/>
        <v>139.38820920859669</v>
      </c>
      <c r="G36" s="306">
        <f t="shared" ca="1" si="11"/>
        <v>7.3661684533465888</v>
      </c>
      <c r="H36" s="307">
        <f t="shared" ca="1" si="12"/>
        <v>41.129101108080569</v>
      </c>
      <c r="I36" s="304">
        <f t="shared" ca="1" si="13"/>
        <v>41.783530196020926</v>
      </c>
      <c r="J36" s="306">
        <f t="shared" ca="1" si="14"/>
        <v>1.1102591682103027</v>
      </c>
      <c r="K36" s="307">
        <f t="shared" ca="1" si="15"/>
        <v>6.2781471194657898</v>
      </c>
      <c r="L36" s="304">
        <f t="shared" ca="1" si="0"/>
        <v>6.3755632436869165</v>
      </c>
      <c r="M36" s="306">
        <f t="shared" ca="1" si="16"/>
        <v>1.3935765419427457</v>
      </c>
      <c r="N36" s="304">
        <f t="shared" ca="1" si="17"/>
        <v>79.846054281755272</v>
      </c>
      <c r="P36" s="310">
        <f t="shared" ca="1" si="18"/>
        <v>6</v>
      </c>
      <c r="Q36" s="304">
        <f t="shared" ca="1" si="19"/>
        <v>1322.89</v>
      </c>
      <c r="R36" s="306">
        <f t="shared" ca="1" si="20"/>
        <v>0.65011014426724612</v>
      </c>
      <c r="S36" s="307">
        <f t="shared" ca="1" si="21"/>
        <v>8.8347547029943154</v>
      </c>
      <c r="T36" s="304">
        <f t="shared" ca="1" si="1"/>
        <v>86.668943636374237</v>
      </c>
      <c r="U36" s="311">
        <f t="shared" ca="1" si="2"/>
        <v>0</v>
      </c>
      <c r="V36" s="306">
        <f t="shared" ca="1" si="3"/>
        <v>1.2242311683197855</v>
      </c>
      <c r="W36" s="304">
        <f t="shared" ca="1" si="4"/>
        <v>6.6413440379277979</v>
      </c>
      <c r="Y36" s="314" t="str">
        <f t="shared" ca="1" si="22"/>
        <v/>
      </c>
      <c r="Z36" s="315" t="str">
        <f t="shared" ca="1" si="23"/>
        <v/>
      </c>
      <c r="AA36" s="316" t="str">
        <f t="shared" ca="1" si="24"/>
        <v/>
      </c>
      <c r="AC36" s="310" t="e">
        <f t="shared" ca="1" si="25"/>
        <v>#N/A</v>
      </c>
      <c r="AD36" s="323" t="e">
        <f t="shared" ca="1" si="26"/>
        <v>#N/A</v>
      </c>
      <c r="AE36" s="324">
        <f t="shared" ca="1" si="5"/>
        <v>6.2781471194657898</v>
      </c>
      <c r="AG36" s="306">
        <f t="shared" ca="1" si="27"/>
        <v>139.37752932430462</v>
      </c>
      <c r="AH36" s="304">
        <f t="shared" ca="1" si="28"/>
        <v>149.03459482930541</v>
      </c>
    </row>
    <row r="37" spans="1:34" x14ac:dyDescent="0.3">
      <c r="A37" s="347">
        <f t="shared" ca="1" si="6"/>
        <v>0.01</v>
      </c>
      <c r="B37" s="304">
        <f t="shared" ca="1" si="7"/>
        <v>0.33000000000000013</v>
      </c>
      <c r="D37" s="306">
        <f t="shared" ca="1" si="8"/>
        <v>26.304480077754182</v>
      </c>
      <c r="E37" s="307">
        <f t="shared" ca="1" si="9"/>
        <v>137.06142000152391</v>
      </c>
      <c r="F37" s="304">
        <f t="shared" ca="1" si="10"/>
        <v>139.5627404610382</v>
      </c>
      <c r="G37" s="306">
        <f t="shared" ca="1" si="11"/>
        <v>7.6292132541241306</v>
      </c>
      <c r="H37" s="307">
        <f t="shared" ca="1" si="12"/>
        <v>42.499715308095809</v>
      </c>
      <c r="I37" s="304">
        <f t="shared" ca="1" si="13"/>
        <v>43.179053905176019</v>
      </c>
      <c r="J37" s="306">
        <f t="shared" ca="1" si="14"/>
        <v>1.1852360767476562</v>
      </c>
      <c r="K37" s="307">
        <f t="shared" ca="1" si="15"/>
        <v>6.6962912015466713</v>
      </c>
      <c r="L37" s="304">
        <f t="shared" ca="1" si="0"/>
        <v>6.8003750200658448</v>
      </c>
      <c r="M37" s="306">
        <f t="shared" ca="1" si="16"/>
        <v>1.3931760143750671</v>
      </c>
      <c r="N37" s="304">
        <f t="shared" ca="1" si="17"/>
        <v>79.823105742548648</v>
      </c>
      <c r="P37" s="310">
        <f t="shared" ca="1" si="18"/>
        <v>6</v>
      </c>
      <c r="Q37" s="304">
        <f t="shared" ca="1" si="19"/>
        <v>1323.89</v>
      </c>
      <c r="R37" s="306">
        <f t="shared" ca="1" si="20"/>
        <v>0.65060157601460777</v>
      </c>
      <c r="S37" s="307">
        <f t="shared" ca="1" si="21"/>
        <v>8.8282486872341686</v>
      </c>
      <c r="T37" s="304">
        <f t="shared" ca="1" si="1"/>
        <v>86.605119621767201</v>
      </c>
      <c r="U37" s="311">
        <f t="shared" ca="1" si="2"/>
        <v>0</v>
      </c>
      <c r="V37" s="306">
        <f t="shared" ca="1" si="3"/>
        <v>1.22417997888282</v>
      </c>
      <c r="W37" s="304">
        <f t="shared" ca="1" si="4"/>
        <v>7.0920829029565535</v>
      </c>
      <c r="Y37" s="314" t="str">
        <f t="shared" ca="1" si="22"/>
        <v/>
      </c>
      <c r="Z37" s="315" t="str">
        <f t="shared" ca="1" si="23"/>
        <v/>
      </c>
      <c r="AA37" s="316" t="str">
        <f t="shared" ca="1" si="24"/>
        <v/>
      </c>
      <c r="AC37" s="310" t="e">
        <f t="shared" ca="1" si="25"/>
        <v>#N/A</v>
      </c>
      <c r="AD37" s="323" t="e">
        <f t="shared" ca="1" si="26"/>
        <v>#N/A</v>
      </c>
      <c r="AE37" s="324">
        <f t="shared" ca="1" si="5"/>
        <v>6.6962912015466713</v>
      </c>
      <c r="AG37" s="306">
        <f t="shared" ca="1" si="27"/>
        <v>139.55202457128664</v>
      </c>
      <c r="AH37" s="304">
        <f t="shared" ca="1" si="28"/>
        <v>149.20837672672738</v>
      </c>
    </row>
    <row r="38" spans="1:34" x14ac:dyDescent="0.3">
      <c r="A38" s="347">
        <f t="shared" ca="1" si="6"/>
        <v>0.01</v>
      </c>
      <c r="B38" s="304">
        <f t="shared" ca="1" si="7"/>
        <v>0.34000000000000014</v>
      </c>
      <c r="D38" s="306">
        <f t="shared" ca="1" si="8"/>
        <v>26.393762574042952</v>
      </c>
      <c r="E38" s="307">
        <f t="shared" ca="1" si="9"/>
        <v>137.22054665563658</v>
      </c>
      <c r="F38" s="304">
        <f t="shared" ca="1" si="10"/>
        <v>139.73585483792871</v>
      </c>
      <c r="G38" s="306">
        <f t="shared" ca="1" si="11"/>
        <v>7.8931508798645602</v>
      </c>
      <c r="H38" s="307">
        <f t="shared" ca="1" si="12"/>
        <v>43.871920774652175</v>
      </c>
      <c r="I38" s="304">
        <f t="shared" ca="1" si="13"/>
        <v>44.576308318092735</v>
      </c>
      <c r="J38" s="306">
        <f t="shared" ca="1" si="14"/>
        <v>1.2628478974175996</v>
      </c>
      <c r="K38" s="307">
        <f t="shared" ca="1" si="15"/>
        <v>7.1281493819604114</v>
      </c>
      <c r="L38" s="304">
        <f t="shared" ca="1" si="0"/>
        <v>7.2391503937654624</v>
      </c>
      <c r="M38" s="306">
        <f t="shared" ca="1" si="16"/>
        <v>1.39278717382214</v>
      </c>
      <c r="N38" s="304">
        <f t="shared" ca="1" si="17"/>
        <v>79.800826819962396</v>
      </c>
      <c r="P38" s="310">
        <f t="shared" ca="1" si="18"/>
        <v>6</v>
      </c>
      <c r="Q38" s="304">
        <f t="shared" ca="1" si="19"/>
        <v>1324.89</v>
      </c>
      <c r="R38" s="306">
        <f t="shared" ca="1" si="20"/>
        <v>0.65109300776196943</v>
      </c>
      <c r="S38" s="307">
        <f t="shared" ca="1" si="21"/>
        <v>8.8217377571565496</v>
      </c>
      <c r="T38" s="304">
        <f t="shared" ca="1" si="1"/>
        <v>86.54124739770576</v>
      </c>
      <c r="U38" s="311">
        <f t="shared" ca="1" si="2"/>
        <v>0</v>
      </c>
      <c r="V38" s="306">
        <f t="shared" ca="1" si="3"/>
        <v>1.2241271128042264</v>
      </c>
      <c r="W38" s="304">
        <f t="shared" ca="1" si="4"/>
        <v>7.5581760039271737</v>
      </c>
      <c r="Y38" s="314" t="str">
        <f t="shared" ca="1" si="22"/>
        <v/>
      </c>
      <c r="Z38" s="315" t="str">
        <f t="shared" ca="1" si="23"/>
        <v/>
      </c>
      <c r="AA38" s="316" t="str">
        <f t="shared" ca="1" si="24"/>
        <v/>
      </c>
      <c r="AC38" s="310" t="e">
        <f t="shared" ca="1" si="25"/>
        <v>#N/A</v>
      </c>
      <c r="AD38" s="323" t="e">
        <f t="shared" ca="1" si="26"/>
        <v>#N/A</v>
      </c>
      <c r="AE38" s="324">
        <f t="shared" ca="1" si="5"/>
        <v>7.1281493819604114</v>
      </c>
      <c r="AG38" s="306">
        <f t="shared" ca="1" si="27"/>
        <v>139.72510430152585</v>
      </c>
      <c r="AH38" s="304">
        <f t="shared" ca="1" si="28"/>
        <v>149.38076299400225</v>
      </c>
    </row>
    <row r="39" spans="1:34" x14ac:dyDescent="0.3">
      <c r="A39" s="347">
        <f t="shared" ca="1" si="6"/>
        <v>0.01</v>
      </c>
      <c r="B39" s="304">
        <f t="shared" ca="1" si="7"/>
        <v>0.35000000000000014</v>
      </c>
      <c r="D39" s="306">
        <f t="shared" ca="1" si="8"/>
        <v>26.481207980049046</v>
      </c>
      <c r="E39" s="307">
        <f t="shared" ca="1" si="9"/>
        <v>137.37855324069699</v>
      </c>
      <c r="F39" s="304">
        <f t="shared" ca="1" si="10"/>
        <v>139.90754542407507</v>
      </c>
      <c r="G39" s="306">
        <f t="shared" ca="1" si="11"/>
        <v>8.1579629596650509</v>
      </c>
      <c r="H39" s="307">
        <f t="shared" ca="1" si="12"/>
        <v>45.245706307059145</v>
      </c>
      <c r="I39" s="304">
        <f t="shared" ca="1" si="13"/>
        <v>45.975279214768435</v>
      </c>
      <c r="J39" s="306">
        <f t="shared" ca="1" si="14"/>
        <v>1.3431034666152477</v>
      </c>
      <c r="K39" s="307">
        <f t="shared" ca="1" si="15"/>
        <v>7.5737375173689676</v>
      </c>
      <c r="L39" s="304">
        <f t="shared" ca="1" si="0"/>
        <v>7.6919065844585077</v>
      </c>
      <c r="M39" s="306">
        <f t="shared" ca="1" si="16"/>
        <v>1.3924093485984026</v>
      </c>
      <c r="N39" s="304">
        <f t="shared" ca="1" si="17"/>
        <v>79.779179029248652</v>
      </c>
      <c r="P39" s="310">
        <f t="shared" ca="1" si="18"/>
        <v>6</v>
      </c>
      <c r="Q39" s="304">
        <f t="shared" ca="1" si="19"/>
        <v>1325.89</v>
      </c>
      <c r="R39" s="306">
        <f t="shared" ca="1" si="20"/>
        <v>0.65158443950933109</v>
      </c>
      <c r="S39" s="307">
        <f t="shared" ca="1" si="21"/>
        <v>8.8152219127614568</v>
      </c>
      <c r="T39" s="304">
        <f t="shared" ca="1" si="1"/>
        <v>86.477326964189899</v>
      </c>
      <c r="U39" s="311">
        <f t="shared" ca="1" si="2"/>
        <v>0</v>
      </c>
      <c r="V39" s="306">
        <f t="shared" ca="1" si="3"/>
        <v>1.2240725683603124</v>
      </c>
      <c r="W39" s="304">
        <f t="shared" ca="1" si="4"/>
        <v>8.0396696315493053</v>
      </c>
      <c r="Y39" s="314" t="str">
        <f t="shared" ca="1" si="22"/>
        <v/>
      </c>
      <c r="Z39" s="315" t="str">
        <f t="shared" ca="1" si="23"/>
        <v/>
      </c>
      <c r="AA39" s="316" t="str">
        <f t="shared" ca="1" si="24"/>
        <v/>
      </c>
      <c r="AC39" s="310" t="e">
        <f t="shared" ca="1" si="25"/>
        <v>#N/A</v>
      </c>
      <c r="AD39" s="323" t="e">
        <f t="shared" ca="1" si="26"/>
        <v>#N/A</v>
      </c>
      <c r="AE39" s="324">
        <f t="shared" ca="1" si="5"/>
        <v>7.5737375173689676</v>
      </c>
      <c r="AG39" s="306">
        <f t="shared" ca="1" si="27"/>
        <v>139.89676151465147</v>
      </c>
      <c r="AH39" s="304">
        <f t="shared" ca="1" si="28"/>
        <v>149.55174549690855</v>
      </c>
    </row>
    <row r="40" spans="1:34" x14ac:dyDescent="0.3">
      <c r="A40" s="347">
        <f t="shared" ca="1" si="6"/>
        <v>0.01</v>
      </c>
      <c r="B40" s="304">
        <f t="shared" ca="1" si="7"/>
        <v>0.36000000000000015</v>
      </c>
      <c r="D40" s="306">
        <f t="shared" ca="1" si="8"/>
        <v>26.566906657153545</v>
      </c>
      <c r="E40" s="307">
        <f t="shared" ca="1" si="9"/>
        <v>137.53541723709628</v>
      </c>
      <c r="F40" s="304">
        <f t="shared" ca="1" si="10"/>
        <v>140.07780525091073</v>
      </c>
      <c r="G40" s="306">
        <f t="shared" ca="1" si="11"/>
        <v>8.4236320262365858</v>
      </c>
      <c r="H40" s="307">
        <f t="shared" ca="1" si="12"/>
        <v>46.621060479430106</v>
      </c>
      <c r="I40" s="304">
        <f t="shared" ca="1" si="13"/>
        <v>47.375952304308548</v>
      </c>
      <c r="J40" s="306">
        <f t="shared" ca="1" si="14"/>
        <v>1.4260114415447558</v>
      </c>
      <c r="K40" s="307">
        <f t="shared" ca="1" si="15"/>
        <v>8.0330713513014143</v>
      </c>
      <c r="L40" s="304">
        <f t="shared" ca="1" si="0"/>
        <v>8.1586606723478869</v>
      </c>
      <c r="M40" s="306">
        <f t="shared" ca="1" si="16"/>
        <v>1.3920419238393942</v>
      </c>
      <c r="N40" s="304">
        <f t="shared" ca="1" si="17"/>
        <v>79.758127141268858</v>
      </c>
      <c r="P40" s="310">
        <f t="shared" ca="1" si="18"/>
        <v>6</v>
      </c>
      <c r="Q40" s="304">
        <f t="shared" ca="1" si="19"/>
        <v>1326.89</v>
      </c>
      <c r="R40" s="306">
        <f t="shared" ca="1" si="20"/>
        <v>0.65207587125669264</v>
      </c>
      <c r="S40" s="307">
        <f t="shared" ca="1" si="21"/>
        <v>8.8087011540488902</v>
      </c>
      <c r="T40" s="304">
        <f t="shared" ca="1" si="1"/>
        <v>86.413358321219619</v>
      </c>
      <c r="U40" s="311">
        <f t="shared" ca="1" si="2"/>
        <v>0</v>
      </c>
      <c r="V40" s="306">
        <f t="shared" ca="1" si="3"/>
        <v>1.2240163438484679</v>
      </c>
      <c r="W40" s="304">
        <f t="shared" ca="1" si="4"/>
        <v>8.5366093748424543</v>
      </c>
      <c r="Y40" s="314" t="str">
        <f t="shared" ca="1" si="22"/>
        <v/>
      </c>
      <c r="Z40" s="315" t="str">
        <f t="shared" ca="1" si="23"/>
        <v/>
      </c>
      <c r="AA40" s="316" t="str">
        <f t="shared" ca="1" si="24"/>
        <v/>
      </c>
      <c r="AC40" s="310" t="e">
        <f t="shared" ca="1" si="25"/>
        <v>#N/A</v>
      </c>
      <c r="AD40" s="323" t="e">
        <f t="shared" ca="1" si="26"/>
        <v>#N/A</v>
      </c>
      <c r="AE40" s="324">
        <f t="shared" ca="1" si="5"/>
        <v>8.0330713513014143</v>
      </c>
      <c r="AG40" s="306">
        <f t="shared" ca="1" si="27"/>
        <v>140.06698916407808</v>
      </c>
      <c r="AH40" s="304">
        <f t="shared" ca="1" si="28"/>
        <v>149.72131615138807</v>
      </c>
    </row>
    <row r="41" spans="1:34" x14ac:dyDescent="0.3">
      <c r="A41" s="347">
        <f t="shared" ca="1" si="6"/>
        <v>0.01</v>
      </c>
      <c r="B41" s="304">
        <f t="shared" ca="1" si="7"/>
        <v>0.37000000000000016</v>
      </c>
      <c r="D41" s="306">
        <f t="shared" ca="1" si="8"/>
        <v>26.650941090745874</v>
      </c>
      <c r="E41" s="307">
        <f t="shared" ca="1" si="9"/>
        <v>137.69111739870249</v>
      </c>
      <c r="F41" s="304">
        <f t="shared" ca="1" si="10"/>
        <v>140.24662730891492</v>
      </c>
      <c r="G41" s="306">
        <f t="shared" ca="1" si="11"/>
        <v>8.6901414371440442</v>
      </c>
      <c r="H41" s="307">
        <f t="shared" ca="1" si="12"/>
        <v>47.997971653417132</v>
      </c>
      <c r="I41" s="304">
        <f t="shared" ca="1" si="13"/>
        <v>48.778313224626807</v>
      </c>
      <c r="J41" s="306">
        <f t="shared" ca="1" si="14"/>
        <v>1.5115803088616588</v>
      </c>
      <c r="K41" s="307">
        <f t="shared" ca="1" si="15"/>
        <v>8.5061665119656507</v>
      </c>
      <c r="L41" s="304">
        <f t="shared" ca="1" si="0"/>
        <v>8.6394295968787311</v>
      </c>
      <c r="M41" s="306">
        <f t="shared" ca="1" si="16"/>
        <v>1.3916843352329609</v>
      </c>
      <c r="N41" s="304">
        <f t="shared" ca="1" si="17"/>
        <v>79.737638823318264</v>
      </c>
      <c r="P41" s="310">
        <f t="shared" ca="1" si="18"/>
        <v>6</v>
      </c>
      <c r="Q41" s="304">
        <f t="shared" ca="1" si="19"/>
        <v>1327.89</v>
      </c>
      <c r="R41" s="306">
        <f t="shared" ca="1" si="20"/>
        <v>0.6525673030040543</v>
      </c>
      <c r="S41" s="307">
        <f t="shared" ca="1" si="21"/>
        <v>8.8021754810188497</v>
      </c>
      <c r="T41" s="304">
        <f t="shared" ca="1" si="1"/>
        <v>86.349341468794918</v>
      </c>
      <c r="U41" s="311">
        <f t="shared" ca="1" si="2"/>
        <v>0</v>
      </c>
      <c r="V41" s="306">
        <f t="shared" ca="1" si="3"/>
        <v>1.2239584375874502</v>
      </c>
      <c r="W41" s="304">
        <f t="shared" ca="1" si="4"/>
        <v>9.0490401146675694</v>
      </c>
      <c r="Y41" s="314" t="str">
        <f t="shared" ca="1" si="22"/>
        <v/>
      </c>
      <c r="Z41" s="315" t="str">
        <f t="shared" ca="1" si="23"/>
        <v/>
      </c>
      <c r="AA41" s="316" t="str">
        <f t="shared" ca="1" si="24"/>
        <v/>
      </c>
      <c r="AC41" s="310" t="e">
        <f t="shared" ca="1" si="25"/>
        <v>#N/A</v>
      </c>
      <c r="AD41" s="323" t="e">
        <f t="shared" ca="1" si="26"/>
        <v>#N/A</v>
      </c>
      <c r="AE41" s="324">
        <f t="shared" ca="1" si="5"/>
        <v>8.5061665119656507</v>
      </c>
      <c r="AG41" s="306">
        <f t="shared" ca="1" si="27"/>
        <v>140.23578016863124</v>
      </c>
      <c r="AH41" s="304">
        <f t="shared" ca="1" si="28"/>
        <v>149.88946692442477</v>
      </c>
    </row>
    <row r="42" spans="1:34" x14ac:dyDescent="0.3">
      <c r="A42" s="347">
        <f t="shared" ca="1" si="6"/>
        <v>0.01</v>
      </c>
      <c r="B42" s="304">
        <f t="shared" ca="1" si="7"/>
        <v>0.38000000000000017</v>
      </c>
      <c r="D42" s="306">
        <f t="shared" ca="1" si="8"/>
        <v>26.733386765126497</v>
      </c>
      <c r="E42" s="307">
        <f t="shared" ca="1" si="9"/>
        <v>137.84563362039776</v>
      </c>
      <c r="F42" s="304">
        <f t="shared" ca="1" si="10"/>
        <v>140.41400455845837</v>
      </c>
      <c r="G42" s="306">
        <f t="shared" ca="1" si="11"/>
        <v>8.9574753047953095</v>
      </c>
      <c r="H42" s="307">
        <f t="shared" ca="1" si="12"/>
        <v>49.376427989621106</v>
      </c>
      <c r="I42" s="304">
        <f t="shared" ca="1" si="13"/>
        <v>50.182347542240954</v>
      </c>
      <c r="J42" s="306">
        <f t="shared" ca="1" si="14"/>
        <v>1.5998183925713556</v>
      </c>
      <c r="K42" s="307">
        <f t="shared" ca="1" si="15"/>
        <v>8.9930385101808419</v>
      </c>
      <c r="L42" s="304">
        <f t="shared" ca="1" si="0"/>
        <v>9.1342301555634808</v>
      </c>
      <c r="M42" s="306">
        <f t="shared" ca="1" si="16"/>
        <v>1.391336063594512</v>
      </c>
      <c r="N42" s="304">
        <f t="shared" ca="1" si="17"/>
        <v>79.717684328311051</v>
      </c>
      <c r="P42" s="310">
        <f t="shared" ca="1" si="18"/>
        <v>6</v>
      </c>
      <c r="Q42" s="304">
        <f t="shared" ca="1" si="19"/>
        <v>1328.89</v>
      </c>
      <c r="R42" s="306">
        <f t="shared" ca="1" si="20"/>
        <v>0.65305873475141596</v>
      </c>
      <c r="S42" s="307">
        <f t="shared" ca="1" si="21"/>
        <v>8.7956448936713354</v>
      </c>
      <c r="T42" s="304">
        <f t="shared" ca="1" si="1"/>
        <v>86.285276406915798</v>
      </c>
      <c r="U42" s="311">
        <f t="shared" ca="1" si="2"/>
        <v>0</v>
      </c>
      <c r="V42" s="306">
        <f t="shared" ca="1" si="3"/>
        <v>1.2238988479176571</v>
      </c>
      <c r="W42" s="304">
        <f t="shared" ca="1" si="4"/>
        <v>9.5770060172942735</v>
      </c>
      <c r="Y42" s="314" t="str">
        <f t="shared" ca="1" si="22"/>
        <v/>
      </c>
      <c r="Z42" s="315" t="str">
        <f t="shared" ca="1" si="23"/>
        <v/>
      </c>
      <c r="AA42" s="316" t="str">
        <f t="shared" ca="1" si="24"/>
        <v/>
      </c>
      <c r="AC42" s="310" t="e">
        <f t="shared" ca="1" si="25"/>
        <v>#N/A</v>
      </c>
      <c r="AD42" s="323" t="e">
        <f t="shared" ca="1" si="26"/>
        <v>#N/A</v>
      </c>
      <c r="AE42" s="324">
        <f t="shared" ca="1" si="5"/>
        <v>8.9930385101808419</v>
      </c>
      <c r="AG42" s="306">
        <f t="shared" ca="1" si="27"/>
        <v>140.40312742270714</v>
      </c>
      <c r="AH42" s="304">
        <f t="shared" ca="1" si="28"/>
        <v>150.05618983492477</v>
      </c>
    </row>
    <row r="43" spans="1:34" x14ac:dyDescent="0.3">
      <c r="A43" s="347">
        <f t="shared" ca="1" si="6"/>
        <v>0.01</v>
      </c>
      <c r="B43" s="304">
        <f t="shared" ca="1" si="7"/>
        <v>0.39000000000000018</v>
      </c>
      <c r="D43" s="306">
        <f t="shared" ca="1" si="8"/>
        <v>26.814312920255666</v>
      </c>
      <c r="E43" s="307">
        <f t="shared" ca="1" si="9"/>
        <v>137.9989468233735</v>
      </c>
      <c r="F43" s="304">
        <f t="shared" ca="1" si="10"/>
        <v>140.57992993932547</v>
      </c>
      <c r="G43" s="306">
        <f t="shared" ca="1" si="11"/>
        <v>9.225618433997866</v>
      </c>
      <c r="H43" s="307">
        <f t="shared" ca="1" si="12"/>
        <v>50.756417457854845</v>
      </c>
      <c r="I43" s="304">
        <f t="shared" ca="1" si="13"/>
        <v>51.588040752152558</v>
      </c>
      <c r="J43" s="306">
        <f t="shared" ca="1" si="14"/>
        <v>1.6907338612653215</v>
      </c>
      <c r="K43" s="307">
        <f t="shared" ca="1" si="15"/>
        <v>9.4937027374182215</v>
      </c>
      <c r="L43" s="304">
        <f t="shared" ca="1" si="0"/>
        <v>9.6430790028958793</v>
      </c>
      <c r="M43" s="306">
        <f t="shared" ca="1" si="16"/>
        <v>1.3909966301532453</v>
      </c>
      <c r="N43" s="304">
        <f t="shared" ca="1" si="17"/>
        <v>79.698236224700864</v>
      </c>
      <c r="P43" s="310">
        <f t="shared" ca="1" si="18"/>
        <v>6</v>
      </c>
      <c r="Q43" s="304">
        <f t="shared" ca="1" si="19"/>
        <v>1329.89</v>
      </c>
      <c r="R43" s="306">
        <f t="shared" ca="1" si="20"/>
        <v>0.65355016649877762</v>
      </c>
      <c r="S43" s="307">
        <f t="shared" ca="1" si="21"/>
        <v>8.7891093920063472</v>
      </c>
      <c r="T43" s="304">
        <f t="shared" ca="1" si="1"/>
        <v>86.221163135582273</v>
      </c>
      <c r="U43" s="311">
        <f t="shared" ca="1" si="2"/>
        <v>0</v>
      </c>
      <c r="V43" s="306">
        <f t="shared" ca="1" si="3"/>
        <v>1.2238375732013904</v>
      </c>
      <c r="W43" s="304">
        <f t="shared" ca="1" si="4"/>
        <v>10.120550528006865</v>
      </c>
      <c r="Y43" s="314" t="str">
        <f t="shared" ca="1" si="22"/>
        <v/>
      </c>
      <c r="Z43" s="315" t="str">
        <f t="shared" ca="1" si="23"/>
        <v/>
      </c>
      <c r="AA43" s="316" t="str">
        <f t="shared" ca="1" si="24"/>
        <v/>
      </c>
      <c r="AC43" s="310" t="e">
        <f t="shared" ca="1" si="25"/>
        <v>#N/A</v>
      </c>
      <c r="AD43" s="323" t="e">
        <f t="shared" ca="1" si="26"/>
        <v>#N/A</v>
      </c>
      <c r="AE43" s="324">
        <f t="shared" ca="1" si="5"/>
        <v>9.4937027374182215</v>
      </c>
      <c r="AG43" s="306">
        <f t="shared" ca="1" si="27"/>
        <v>140.56902380520023</v>
      </c>
      <c r="AH43" s="304">
        <f t="shared" ca="1" si="28"/>
        <v>150.22147695459611</v>
      </c>
    </row>
    <row r="44" spans="1:34" x14ac:dyDescent="0.3">
      <c r="A44" s="347">
        <f t="shared" ca="1" si="6"/>
        <v>0.01</v>
      </c>
      <c r="B44" s="304">
        <f t="shared" ca="1" si="7"/>
        <v>0.40000000000000019</v>
      </c>
      <c r="D44" s="306">
        <f t="shared" ca="1" si="8"/>
        <v>26.89378320901783</v>
      </c>
      <c r="E44" s="307">
        <f t="shared" ca="1" si="9"/>
        <v>138.15103885541123</v>
      </c>
      <c r="F44" s="304">
        <f t="shared" ca="1" si="10"/>
        <v>140.74439637912053</v>
      </c>
      <c r="G44" s="306">
        <f t="shared" ca="1" si="11"/>
        <v>9.4945562660880434</v>
      </c>
      <c r="H44" s="307">
        <f t="shared" ca="1" si="12"/>
        <v>52.137927846408957</v>
      </c>
      <c r="I44" s="304">
        <f t="shared" ca="1" si="13"/>
        <v>52.995378277801336</v>
      </c>
      <c r="J44" s="306">
        <f t="shared" ca="1" si="14"/>
        <v>1.784334734765751</v>
      </c>
      <c r="K44" s="307">
        <f t="shared" ca="1" si="15"/>
        <v>10.00817446393954</v>
      </c>
      <c r="L44" s="304">
        <f t="shared" ca="1" si="0"/>
        <v>10.165992649335482</v>
      </c>
      <c r="M44" s="306">
        <f t="shared" ca="1" si="16"/>
        <v>1.3906655924401556</v>
      </c>
      <c r="N44" s="304">
        <f t="shared" ca="1" si="17"/>
        <v>79.679269160881162</v>
      </c>
      <c r="P44" s="310">
        <f t="shared" ca="1" si="18"/>
        <v>6</v>
      </c>
      <c r="Q44" s="304">
        <f t="shared" ca="1" si="19"/>
        <v>1330.89</v>
      </c>
      <c r="R44" s="306">
        <f t="shared" ca="1" si="20"/>
        <v>0.65404159824613928</v>
      </c>
      <c r="S44" s="307">
        <f t="shared" ca="1" si="21"/>
        <v>8.7825689760238852</v>
      </c>
      <c r="T44" s="304">
        <f t="shared" ca="1" si="1"/>
        <v>86.157001654794314</v>
      </c>
      <c r="U44" s="311">
        <f t="shared" ca="1" si="2"/>
        <v>0</v>
      </c>
      <c r="V44" s="306">
        <f t="shared" ca="1" si="3"/>
        <v>1.2237746118231005</v>
      </c>
      <c r="W44" s="304">
        <f t="shared" ca="1" si="4"/>
        <v>10.679716364751947</v>
      </c>
      <c r="Y44" s="314" t="str">
        <f t="shared" ca="1" si="22"/>
        <v/>
      </c>
      <c r="Z44" s="315" t="str">
        <f t="shared" ca="1" si="23"/>
        <v/>
      </c>
      <c r="AA44" s="316" t="str">
        <f t="shared" ca="1" si="24"/>
        <v/>
      </c>
      <c r="AC44" s="310" t="e">
        <f t="shared" ca="1" si="25"/>
        <v>#N/A</v>
      </c>
      <c r="AD44" s="323" t="e">
        <f t="shared" ca="1" si="26"/>
        <v>#N/A</v>
      </c>
      <c r="AE44" s="324">
        <f t="shared" ca="1" si="5"/>
        <v>10.00817446393954</v>
      </c>
      <c r="AG44" s="306">
        <f t="shared" ca="1" si="27"/>
        <v>140.73346218739076</v>
      </c>
      <c r="AH44" s="304">
        <f t="shared" ca="1" si="28"/>
        <v>150.38532040882902</v>
      </c>
    </row>
    <row r="45" spans="1:34" x14ac:dyDescent="0.3">
      <c r="A45" s="347">
        <f t="shared" ca="1" si="6"/>
        <v>0.01</v>
      </c>
      <c r="B45" s="304">
        <f t="shared" ca="1" si="7"/>
        <v>0.4100000000000002</v>
      </c>
      <c r="D45" s="306">
        <f t="shared" ca="1" si="8"/>
        <v>26.95466731511587</v>
      </c>
      <c r="E45" s="307">
        <f t="shared" ca="1" si="9"/>
        <v>138.20750184145325</v>
      </c>
      <c r="F45" s="304">
        <f t="shared" ca="1" si="10"/>
        <v>140.81146137770136</v>
      </c>
      <c r="G45" s="306">
        <f t="shared" ca="1" si="11"/>
        <v>9.7641029392392014</v>
      </c>
      <c r="H45" s="307">
        <f t="shared" ca="1" si="12"/>
        <v>53.520002864823489</v>
      </c>
      <c r="I45" s="304">
        <f t="shared" ca="1" si="13"/>
        <v>54.403386042219594</v>
      </c>
      <c r="J45" s="306">
        <f t="shared" ca="1" si="14"/>
        <v>1.8806280307923873</v>
      </c>
      <c r="K45" s="307">
        <f t="shared" ca="1" si="15"/>
        <v>10.536464117495703</v>
      </c>
      <c r="L45" s="304">
        <f t="shared" ca="1" si="0"/>
        <v>10.702982663233485</v>
      </c>
      <c r="M45" s="306">
        <f t="shared" ca="1" si="16"/>
        <v>1.3903425349905709</v>
      </c>
      <c r="N45" s="304">
        <f t="shared" ca="1" si="17"/>
        <v>79.660759332479699</v>
      </c>
      <c r="P45" s="310">
        <f t="shared" ca="1" si="18"/>
        <v>7</v>
      </c>
      <c r="Q45" s="304">
        <f t="shared" ca="1" si="19"/>
        <v>1331.0486250000001</v>
      </c>
      <c r="R45" s="306">
        <f t="shared" ca="1" si="20"/>
        <v>0.65411955160706448</v>
      </c>
      <c r="S45" s="307">
        <f t="shared" ca="1" si="21"/>
        <v>8.776027780507814</v>
      </c>
      <c r="T45" s="304">
        <f t="shared" ca="1" si="1"/>
        <v>86.092832526781663</v>
      </c>
      <c r="U45" s="311">
        <f t="shared" ca="1" si="2"/>
        <v>0</v>
      </c>
      <c r="V45" s="306">
        <f t="shared" ca="1" si="3"/>
        <v>1.2237099627671575</v>
      </c>
      <c r="W45" s="304">
        <f t="shared" ca="1" si="4"/>
        <v>11.254148569415184</v>
      </c>
      <c r="Y45" s="314" t="str">
        <f t="shared" ca="1" si="22"/>
        <v/>
      </c>
      <c r="Z45" s="315" t="str">
        <f t="shared" ca="1" si="23"/>
        <v/>
      </c>
      <c r="AA45" s="316" t="str">
        <f t="shared" ca="1" si="24"/>
        <v/>
      </c>
      <c r="AC45" s="310" t="e">
        <f t="shared" ca="1" si="25"/>
        <v>#N/A</v>
      </c>
      <c r="AD45" s="323" t="e">
        <f t="shared" ca="1" si="26"/>
        <v>#N/A</v>
      </c>
      <c r="AE45" s="324">
        <f t="shared" ca="1" si="5"/>
        <v>10.536464117495703</v>
      </c>
      <c r="AG45" s="306">
        <f t="shared" ca="1" si="27"/>
        <v>140.80049254832392</v>
      </c>
      <c r="AH45" s="304">
        <f t="shared" ca="1" si="28"/>
        <v>150.4517694859492</v>
      </c>
    </row>
    <row r="46" spans="1:34" x14ac:dyDescent="0.3">
      <c r="A46" s="347">
        <f t="shared" ca="1" si="6"/>
        <v>0.01</v>
      </c>
      <c r="B46" s="304">
        <f t="shared" ca="1" si="7"/>
        <v>0.42000000000000021</v>
      </c>
      <c r="D46" s="306">
        <f t="shared" ca="1" si="8"/>
        <v>26.99688554890302</v>
      </c>
      <c r="E46" s="307">
        <f t="shared" ca="1" si="9"/>
        <v>138.16809905424682</v>
      </c>
      <c r="F46" s="304">
        <f t="shared" ca="1" si="10"/>
        <v>140.78087734349694</v>
      </c>
      <c r="G46" s="306">
        <f t="shared" ca="1" si="11"/>
        <v>10.034071794728231</v>
      </c>
      <c r="H46" s="307">
        <f t="shared" ca="1" si="12"/>
        <v>54.90168385536596</v>
      </c>
      <c r="I46" s="304">
        <f t="shared" ca="1" si="13"/>
        <v>55.811087491073955</v>
      </c>
      <c r="J46" s="306">
        <f t="shared" ca="1" si="14"/>
        <v>1.9796189044622245</v>
      </c>
      <c r="K46" s="307">
        <f t="shared" ca="1" si="15"/>
        <v>11.07857255109665</v>
      </c>
      <c r="L46" s="304">
        <f t="shared" ca="1" si="0"/>
        <v>11.254050860770818</v>
      </c>
      <c r="M46" s="306">
        <f t="shared" ca="1" si="16"/>
        <v>1.3900270672551653</v>
      </c>
      <c r="N46" s="304">
        <f t="shared" ca="1" si="17"/>
        <v>79.642684362668405</v>
      </c>
      <c r="P46" s="310">
        <f t="shared" ca="1" si="18"/>
        <v>7</v>
      </c>
      <c r="Q46" s="304">
        <f t="shared" ca="1" si="19"/>
        <v>1330.3658750000002</v>
      </c>
      <c r="R46" s="306">
        <f t="shared" ca="1" si="20"/>
        <v>0.65378402658155343</v>
      </c>
      <c r="S46" s="307">
        <f t="shared" ca="1" si="21"/>
        <v>8.7694899402419981</v>
      </c>
      <c r="T46" s="304">
        <f t="shared" ca="1" si="1"/>
        <v>86.028696313774006</v>
      </c>
      <c r="U46" s="311">
        <f t="shared" ca="1" si="2"/>
        <v>0</v>
      </c>
      <c r="V46" s="306">
        <f t="shared" ca="1" si="3"/>
        <v>1.22364362619677</v>
      </c>
      <c r="W46" s="304">
        <f t="shared" ca="1" si="4"/>
        <v>11.843449397288447</v>
      </c>
      <c r="Y46" s="314" t="str">
        <f t="shared" ca="1" si="22"/>
        <v/>
      </c>
      <c r="Z46" s="315" t="str">
        <f t="shared" ca="1" si="23"/>
        <v/>
      </c>
      <c r="AA46" s="316" t="str">
        <f t="shared" ca="1" si="24"/>
        <v/>
      </c>
      <c r="AC46" s="310" t="e">
        <f t="shared" ca="1" si="25"/>
        <v>#N/A</v>
      </c>
      <c r="AD46" s="323" t="e">
        <f t="shared" ca="1" si="26"/>
        <v>#N/A</v>
      </c>
      <c r="AE46" s="324">
        <f t="shared" ca="1" si="5"/>
        <v>11.07857255109665</v>
      </c>
      <c r="AG46" s="306">
        <f t="shared" ca="1" si="27"/>
        <v>140.76986716976782</v>
      </c>
      <c r="AH46" s="304">
        <f t="shared" ca="1" si="28"/>
        <v>150.42057581677133</v>
      </c>
    </row>
    <row r="47" spans="1:34" x14ac:dyDescent="0.3">
      <c r="A47" s="347">
        <f t="shared" ca="1" si="6"/>
        <v>0.01</v>
      </c>
      <c r="B47" s="304">
        <f t="shared" ca="1" si="7"/>
        <v>0.43000000000000022</v>
      </c>
      <c r="D47" s="306">
        <f t="shared" ca="1" si="8"/>
        <v>27.037634549624073</v>
      </c>
      <c r="E47" s="307">
        <f t="shared" ca="1" si="9"/>
        <v>138.12711811193856</v>
      </c>
      <c r="F47" s="304">
        <f t="shared" ca="1" si="10"/>
        <v>140.74847935217082</v>
      </c>
      <c r="G47" s="306">
        <f t="shared" ca="1" si="11"/>
        <v>10.304448140224471</v>
      </c>
      <c r="H47" s="307">
        <f t="shared" ca="1" si="12"/>
        <v>56.282955036485347</v>
      </c>
      <c r="I47" s="304">
        <f t="shared" ca="1" si="13"/>
        <v>57.218464494545877</v>
      </c>
      <c r="J47" s="306">
        <f t="shared" ca="1" si="14"/>
        <v>2.0813115041369881</v>
      </c>
      <c r="K47" s="307">
        <f t="shared" ca="1" si="15"/>
        <v>11.634495745555906</v>
      </c>
      <c r="L47" s="304">
        <f t="shared" ca="1" si="0"/>
        <v>11.819194085495486</v>
      </c>
      <c r="M47" s="306">
        <f t="shared" ca="1" si="16"/>
        <v>1.3897188268729772</v>
      </c>
      <c r="N47" s="304">
        <f t="shared" ca="1" si="17"/>
        <v>79.625023489693532</v>
      </c>
      <c r="P47" s="310">
        <f t="shared" ca="1" si="18"/>
        <v>7</v>
      </c>
      <c r="Q47" s="304">
        <f t="shared" ca="1" si="19"/>
        <v>1329.683125</v>
      </c>
      <c r="R47" s="306">
        <f t="shared" ca="1" si="20"/>
        <v>0.65344850155604217</v>
      </c>
      <c r="S47" s="307">
        <f t="shared" ca="1" si="21"/>
        <v>8.7629554552264377</v>
      </c>
      <c r="T47" s="304">
        <f t="shared" ca="1" si="1"/>
        <v>85.964593015771356</v>
      </c>
      <c r="U47" s="311">
        <f t="shared" ca="1" si="2"/>
        <v>0</v>
      </c>
      <c r="V47" s="306">
        <f t="shared" ca="1" si="3"/>
        <v>1.2235756028782823</v>
      </c>
      <c r="W47" s="304">
        <f t="shared" ca="1" si="4"/>
        <v>12.44759626014171</v>
      </c>
      <c r="Y47" s="314" t="str">
        <f t="shared" ca="1" si="22"/>
        <v/>
      </c>
      <c r="Z47" s="315" t="str">
        <f t="shared" ca="1" si="23"/>
        <v/>
      </c>
      <c r="AA47" s="316" t="str">
        <f t="shared" ca="1" si="24"/>
        <v/>
      </c>
      <c r="AC47" s="310" t="e">
        <f t="shared" ca="1" si="25"/>
        <v>#N/A</v>
      </c>
      <c r="AD47" s="323" t="e">
        <f t="shared" ca="1" si="26"/>
        <v>#N/A</v>
      </c>
      <c r="AE47" s="324">
        <f t="shared" ca="1" si="5"/>
        <v>11.634495745555906</v>
      </c>
      <c r="AG47" s="306">
        <f t="shared" ca="1" si="27"/>
        <v>140.7374285247752</v>
      </c>
      <c r="AH47" s="304">
        <f t="shared" ca="1" si="28"/>
        <v>150.38758126023799</v>
      </c>
    </row>
    <row r="48" spans="1:34" x14ac:dyDescent="0.3">
      <c r="A48" s="347">
        <f t="shared" ca="1" si="6"/>
        <v>0.01</v>
      </c>
      <c r="B48" s="304">
        <f t="shared" ca="1" si="7"/>
        <v>0.44000000000000022</v>
      </c>
      <c r="D48" s="306">
        <f t="shared" ca="1" si="8"/>
        <v>27.076966907388037</v>
      </c>
      <c r="E48" s="307">
        <f t="shared" ca="1" si="9"/>
        <v>138.08454905633826</v>
      </c>
      <c r="F48" s="304">
        <f t="shared" ca="1" si="10"/>
        <v>140.71426660078242</v>
      </c>
      <c r="G48" s="306">
        <f t="shared" ca="1" si="11"/>
        <v>10.575217809298351</v>
      </c>
      <c r="H48" s="307">
        <f t="shared" ca="1" si="12"/>
        <v>57.663800527048728</v>
      </c>
      <c r="I48" s="304">
        <f t="shared" ca="1" si="13"/>
        <v>58.625498914187212</v>
      </c>
      <c r="J48" s="306">
        <f t="shared" ca="1" si="14"/>
        <v>2.1857098338846024</v>
      </c>
      <c r="K48" s="307">
        <f t="shared" ca="1" si="15"/>
        <v>12.204229523373577</v>
      </c>
      <c r="L48" s="304">
        <f t="shared" ca="1" si="0"/>
        <v>12.398409000235599</v>
      </c>
      <c r="M48" s="306">
        <f t="shared" ca="1" si="16"/>
        <v>1.3894174770080097</v>
      </c>
      <c r="N48" s="304">
        <f t="shared" ca="1" si="17"/>
        <v>79.607757414274047</v>
      </c>
      <c r="P48" s="310">
        <f t="shared" ca="1" si="18"/>
        <v>7</v>
      </c>
      <c r="Q48" s="304">
        <f t="shared" ca="1" si="19"/>
        <v>1329.0003750000001</v>
      </c>
      <c r="R48" s="306">
        <f t="shared" ca="1" si="20"/>
        <v>0.65311297653053102</v>
      </c>
      <c r="S48" s="307">
        <f t="shared" ca="1" si="21"/>
        <v>8.7564243254611327</v>
      </c>
      <c r="T48" s="304">
        <f t="shared" ca="1" si="1"/>
        <v>85.900522632773715</v>
      </c>
      <c r="U48" s="311">
        <f t="shared" ca="1" si="2"/>
        <v>0</v>
      </c>
      <c r="V48" s="306">
        <f t="shared" ca="1" si="3"/>
        <v>1.223505893604256</v>
      </c>
      <c r="W48" s="304">
        <f t="shared" ca="1" si="4"/>
        <v>13.066565674378932</v>
      </c>
      <c r="Y48" s="314" t="str">
        <f t="shared" ca="1" si="22"/>
        <v/>
      </c>
      <c r="Z48" s="315" t="str">
        <f t="shared" ca="1" si="23"/>
        <v/>
      </c>
      <c r="AA48" s="316" t="str">
        <f t="shared" ca="1" si="24"/>
        <v/>
      </c>
      <c r="AC48" s="310" t="e">
        <f t="shared" ca="1" si="25"/>
        <v>#N/A</v>
      </c>
      <c r="AD48" s="323" t="e">
        <f t="shared" ca="1" si="26"/>
        <v>#N/A</v>
      </c>
      <c r="AE48" s="324">
        <f t="shared" ca="1" si="5"/>
        <v>12.204229523373577</v>
      </c>
      <c r="AG48" s="306">
        <f t="shared" ca="1" si="27"/>
        <v>140.70317576995461</v>
      </c>
      <c r="AH48" s="304">
        <f t="shared" ca="1" si="28"/>
        <v>150.35278440215674</v>
      </c>
    </row>
    <row r="49" spans="1:34" x14ac:dyDescent="0.3">
      <c r="A49" s="347">
        <f t="shared" ca="1" si="6"/>
        <v>0.01</v>
      </c>
      <c r="B49" s="304">
        <f t="shared" ca="1" si="7"/>
        <v>0.45000000000000023</v>
      </c>
      <c r="D49" s="306">
        <f t="shared" ca="1" si="8"/>
        <v>27.114931467880897</v>
      </c>
      <c r="E49" s="307">
        <f t="shared" ca="1" si="9"/>
        <v>138.04038262698617</v>
      </c>
      <c r="F49" s="304">
        <f t="shared" ca="1" si="10"/>
        <v>140.67823834663491</v>
      </c>
      <c r="G49" s="306">
        <f t="shared" ca="1" si="11"/>
        <v>10.84636712397716</v>
      </c>
      <c r="H49" s="307">
        <f t="shared" ca="1" si="12"/>
        <v>59.044204353318591</v>
      </c>
      <c r="I49" s="304">
        <f t="shared" ca="1" si="13"/>
        <v>60.032172603567652</v>
      </c>
      <c r="J49" s="306">
        <f t="shared" ca="1" si="14"/>
        <v>2.2928177585509801</v>
      </c>
      <c r="K49" s="307">
        <f t="shared" ca="1" si="15"/>
        <v>12.787769547775413</v>
      </c>
      <c r="L49" s="304">
        <f t="shared" ca="1" si="0"/>
        <v>12.991692086904575</v>
      </c>
      <c r="M49" s="306">
        <f t="shared" ca="1" si="16"/>
        <v>1.3891227039940937</v>
      </c>
      <c r="N49" s="304">
        <f t="shared" ca="1" si="17"/>
        <v>79.590868164662311</v>
      </c>
      <c r="P49" s="310">
        <f t="shared" ca="1" si="18"/>
        <v>7</v>
      </c>
      <c r="Q49" s="304">
        <f t="shared" ca="1" si="19"/>
        <v>1328.3176250000001</v>
      </c>
      <c r="R49" s="306">
        <f t="shared" ca="1" si="20"/>
        <v>0.65277745150501987</v>
      </c>
      <c r="S49" s="307">
        <f t="shared" ca="1" si="21"/>
        <v>8.7498965509460831</v>
      </c>
      <c r="T49" s="304">
        <f t="shared" ca="1" si="1"/>
        <v>85.836485164781081</v>
      </c>
      <c r="U49" s="311">
        <f t="shared" ca="1" si="2"/>
        <v>0</v>
      </c>
      <c r="V49" s="306">
        <f t="shared" ca="1" si="3"/>
        <v>1.2234344991935744</v>
      </c>
      <c r="W49" s="304">
        <f t="shared" ca="1" si="4"/>
        <v>13.700333261965564</v>
      </c>
      <c r="Y49" s="314" t="str">
        <f t="shared" ca="1" si="22"/>
        <v/>
      </c>
      <c r="Z49" s="315" t="str">
        <f t="shared" ca="1" si="23"/>
        <v/>
      </c>
      <c r="AA49" s="316" t="str">
        <f t="shared" ca="1" si="24"/>
        <v/>
      </c>
      <c r="AC49" s="310" t="e">
        <f t="shared" ca="1" si="25"/>
        <v>#N/A</v>
      </c>
      <c r="AD49" s="323" t="e">
        <f t="shared" ca="1" si="26"/>
        <v>#N/A</v>
      </c>
      <c r="AE49" s="324">
        <f t="shared" ca="1" si="5"/>
        <v>12.787769547775413</v>
      </c>
      <c r="AG49" s="306">
        <f t="shared" ca="1" si="27"/>
        <v>140.66710812488074</v>
      </c>
      <c r="AH49" s="304">
        <f t="shared" ca="1" si="28"/>
        <v>150.3161839305871</v>
      </c>
    </row>
    <row r="50" spans="1:34" x14ac:dyDescent="0.3">
      <c r="A50" s="347">
        <f t="shared" ca="1" si="6"/>
        <v>0.01</v>
      </c>
      <c r="B50" s="304">
        <f t="shared" ca="1" si="7"/>
        <v>0.46000000000000024</v>
      </c>
      <c r="D50" s="306">
        <f t="shared" ca="1" si="8"/>
        <v>27.151573680781254</v>
      </c>
      <c r="E50" s="307">
        <f t="shared" ca="1" si="9"/>
        <v>137.99461020707119</v>
      </c>
      <c r="F50" s="304">
        <f t="shared" ca="1" si="10"/>
        <v>140.64039391136677</v>
      </c>
      <c r="G50" s="306">
        <f t="shared" ca="1" si="11"/>
        <v>11.117882860784972</v>
      </c>
      <c r="H50" s="307">
        <f t="shared" ca="1" si="12"/>
        <v>60.424150455389302</v>
      </c>
      <c r="I50" s="304">
        <f t="shared" ca="1" si="13"/>
        <v>61.43846740895853</v>
      </c>
      <c r="J50" s="306">
        <f t="shared" ca="1" si="14"/>
        <v>2.4026390084747908</v>
      </c>
      <c r="K50" s="307">
        <f t="shared" ca="1" si="15"/>
        <v>13.385111321818952</v>
      </c>
      <c r="L50" s="304">
        <f t="shared" ca="1" si="0"/>
        <v>13.599039646332773</v>
      </c>
      <c r="M50" s="306">
        <f t="shared" ca="1" si="16"/>
        <v>1.3888342152460875</v>
      </c>
      <c r="N50" s="304">
        <f t="shared" ca="1" si="17"/>
        <v>79.57433897696454</v>
      </c>
      <c r="P50" s="310">
        <f t="shared" ca="1" si="18"/>
        <v>7</v>
      </c>
      <c r="Q50" s="304">
        <f t="shared" ca="1" si="19"/>
        <v>1327.634875</v>
      </c>
      <c r="R50" s="306">
        <f t="shared" ca="1" si="20"/>
        <v>0.6524419264795086</v>
      </c>
      <c r="S50" s="307">
        <f t="shared" ca="1" si="21"/>
        <v>8.7433721316812871</v>
      </c>
      <c r="T50" s="304">
        <f t="shared" ca="1" si="1"/>
        <v>85.772480611793426</v>
      </c>
      <c r="U50" s="311">
        <f t="shared" ca="1" si="2"/>
        <v>0</v>
      </c>
      <c r="V50" s="306">
        <f t="shared" ca="1" si="3"/>
        <v>1.2233614204915337</v>
      </c>
      <c r="W50" s="304">
        <f t="shared" ca="1" si="4"/>
        <v>14.348873751460607</v>
      </c>
      <c r="Y50" s="314" t="str">
        <f t="shared" ca="1" si="22"/>
        <v/>
      </c>
      <c r="Z50" s="315" t="str">
        <f t="shared" ca="1" si="23"/>
        <v/>
      </c>
      <c r="AA50" s="316" t="str">
        <f t="shared" ca="1" si="24"/>
        <v/>
      </c>
      <c r="AC50" s="310" t="e">
        <f t="shared" ca="1" si="25"/>
        <v>#N/A</v>
      </c>
      <c r="AD50" s="323" t="e">
        <f t="shared" ca="1" si="26"/>
        <v>#N/A</v>
      </c>
      <c r="AE50" s="324">
        <f t="shared" ca="1" si="5"/>
        <v>13.385111321818952</v>
      </c>
      <c r="AG50" s="306">
        <f t="shared" ca="1" si="27"/>
        <v>140.6292248759394</v>
      </c>
      <c r="AH50" s="304">
        <f t="shared" ca="1" si="28"/>
        <v>150.27777863612152</v>
      </c>
    </row>
    <row r="51" spans="1:34" x14ac:dyDescent="0.3">
      <c r="A51" s="347">
        <f t="shared" ca="1" si="6"/>
        <v>0.01</v>
      </c>
      <c r="B51" s="304">
        <f t="shared" ca="1" si="7"/>
        <v>0.47000000000000025</v>
      </c>
      <c r="D51" s="306">
        <f t="shared" ca="1" si="8"/>
        <v>27.186935908724632</v>
      </c>
      <c r="E51" s="307">
        <f t="shared" ca="1" si="9"/>
        <v>137.94722377541024</v>
      </c>
      <c r="F51" s="304">
        <f t="shared" ca="1" si="10"/>
        <v>140.60073268460661</v>
      </c>
      <c r="G51" s="306">
        <f t="shared" ca="1" si="11"/>
        <v>11.389752219872218</v>
      </c>
      <c r="H51" s="307">
        <f t="shared" ca="1" si="12"/>
        <v>61.803622693143403</v>
      </c>
      <c r="I51" s="304">
        <f t="shared" ca="1" si="13"/>
        <v>62.844365170049372</v>
      </c>
      <c r="J51" s="306">
        <f t="shared" ca="1" si="14"/>
        <v>2.5151771838780768</v>
      </c>
      <c r="K51" s="307">
        <f t="shared" ca="1" si="15"/>
        <v>13.996250187561616</v>
      </c>
      <c r="L51" s="304">
        <f t="shared" ca="1" si="0"/>
        <v>14.220447798122231</v>
      </c>
      <c r="M51" s="306">
        <f t="shared" ca="1" si="16"/>
        <v>1.3885517374019973</v>
      </c>
      <c r="N51" s="304">
        <f t="shared" ca="1" si="17"/>
        <v>79.558154188692228</v>
      </c>
      <c r="P51" s="310">
        <f t="shared" ca="1" si="18"/>
        <v>7</v>
      </c>
      <c r="Q51" s="304">
        <f t="shared" ca="1" si="19"/>
        <v>1326.952125</v>
      </c>
      <c r="R51" s="306">
        <f t="shared" ca="1" si="20"/>
        <v>0.65210640145399745</v>
      </c>
      <c r="S51" s="307">
        <f t="shared" ca="1" si="21"/>
        <v>8.7368510676667466</v>
      </c>
      <c r="T51" s="304">
        <f t="shared" ca="1" si="1"/>
        <v>85.708508973810794</v>
      </c>
      <c r="U51" s="311">
        <f t="shared" ca="1" si="2"/>
        <v>0</v>
      </c>
      <c r="V51" s="306">
        <f t="shared" ca="1" si="3"/>
        <v>1.2232866583699291</v>
      </c>
      <c r="W51" s="304">
        <f t="shared" ca="1" si="4"/>
        <v>15.01216097915426</v>
      </c>
      <c r="Y51" s="314" t="str">
        <f t="shared" ca="1" si="22"/>
        <v/>
      </c>
      <c r="Z51" s="315" t="str">
        <f t="shared" ca="1" si="23"/>
        <v/>
      </c>
      <c r="AA51" s="316" t="str">
        <f t="shared" ca="1" si="24"/>
        <v/>
      </c>
      <c r="AC51" s="310" t="e">
        <f t="shared" ca="1" si="25"/>
        <v>#N/A</v>
      </c>
      <c r="AD51" s="323" t="e">
        <f t="shared" ca="1" si="26"/>
        <v>#N/A</v>
      </c>
      <c r="AE51" s="324">
        <f t="shared" ca="1" si="5"/>
        <v>13.996250187561616</v>
      </c>
      <c r="AG51" s="306">
        <f t="shared" ca="1" si="27"/>
        <v>140.58952537976293</v>
      </c>
      <c r="AH51" s="304">
        <f t="shared" ca="1" si="28"/>
        <v>150.23756741215479</v>
      </c>
    </row>
    <row r="52" spans="1:34" x14ac:dyDescent="0.3">
      <c r="A52" s="347">
        <f t="shared" ca="1" si="6"/>
        <v>0.01</v>
      </c>
      <c r="B52" s="304">
        <f t="shared" ca="1" si="7"/>
        <v>0.48000000000000026</v>
      </c>
      <c r="D52" s="306">
        <f t="shared" ca="1" si="8"/>
        <v>27.221057702066997</v>
      </c>
      <c r="E52" s="307">
        <f t="shared" ca="1" si="9"/>
        <v>137.8982158636905</v>
      </c>
      <c r="F52" s="304">
        <f t="shared" ca="1" si="10"/>
        <v>140.55925412724787</v>
      </c>
      <c r="G52" s="306">
        <f t="shared" ca="1" si="11"/>
        <v>11.661962796892889</v>
      </c>
      <c r="H52" s="307">
        <f t="shared" ca="1" si="12"/>
        <v>63.182604851780305</v>
      </c>
      <c r="I52" s="304">
        <f t="shared" ca="1" si="13"/>
        <v>64.24984772069368</v>
      </c>
      <c r="J52" s="306">
        <f t="shared" ca="1" si="14"/>
        <v>2.6304357589619025</v>
      </c>
      <c r="K52" s="307">
        <f t="shared" ca="1" si="15"/>
        <v>14.621181325286233</v>
      </c>
      <c r="L52" s="304">
        <f t="shared" ca="1" si="0"/>
        <v>14.855912480521834</v>
      </c>
      <c r="M52" s="306">
        <f t="shared" ca="1" si="16"/>
        <v>1.3882750146659828</v>
      </c>
      <c r="N52" s="304">
        <f t="shared" ca="1" si="17"/>
        <v>79.542299143823286</v>
      </c>
      <c r="P52" s="310">
        <f t="shared" ca="1" si="18"/>
        <v>7</v>
      </c>
      <c r="Q52" s="304">
        <f t="shared" ca="1" si="19"/>
        <v>1326.2693750000001</v>
      </c>
      <c r="R52" s="306">
        <f t="shared" ca="1" si="20"/>
        <v>0.65177087642848641</v>
      </c>
      <c r="S52" s="307">
        <f t="shared" ca="1" si="21"/>
        <v>8.7303333589024614</v>
      </c>
      <c r="T52" s="304">
        <f t="shared" ca="1" si="1"/>
        <v>85.644570250833155</v>
      </c>
      <c r="U52" s="311">
        <f t="shared" ca="1" si="2"/>
        <v>0</v>
      </c>
      <c r="V52" s="306">
        <f t="shared" ca="1" si="3"/>
        <v>1.2232102137271341</v>
      </c>
      <c r="W52" s="304">
        <f t="shared" ca="1" si="4"/>
        <v>15.690167890311731</v>
      </c>
      <c r="Y52" s="314" t="str">
        <f t="shared" ca="1" si="22"/>
        <v/>
      </c>
      <c r="Z52" s="315" t="str">
        <f t="shared" ca="1" si="23"/>
        <v/>
      </c>
      <c r="AA52" s="316" t="str">
        <f t="shared" ca="1" si="24"/>
        <v/>
      </c>
      <c r="AC52" s="310" t="e">
        <f t="shared" ca="1" si="25"/>
        <v>#N/A</v>
      </c>
      <c r="AD52" s="323" t="e">
        <f t="shared" ca="1" si="26"/>
        <v>#N/A</v>
      </c>
      <c r="AE52" s="324">
        <f t="shared" ca="1" si="5"/>
        <v>14.621181325286233</v>
      </c>
      <c r="AG52" s="306">
        <f t="shared" ca="1" si="27"/>
        <v>140.54800906630942</v>
      </c>
      <c r="AH52" s="304">
        <f t="shared" ca="1" si="28"/>
        <v>150.19554925514223</v>
      </c>
    </row>
    <row r="53" spans="1:34" x14ac:dyDescent="0.3">
      <c r="A53" s="347">
        <f t="shared" ca="1" si="6"/>
        <v>0.01</v>
      </c>
      <c r="B53" s="304">
        <f t="shared" ca="1" si="7"/>
        <v>0.49000000000000027</v>
      </c>
      <c r="D53" s="306">
        <f t="shared" ca="1" si="8"/>
        <v>27.253976043899719</v>
      </c>
      <c r="E53" s="307">
        <f t="shared" ca="1" si="9"/>
        <v>137.84757951829445</v>
      </c>
      <c r="F53" s="304">
        <f t="shared" ca="1" si="10"/>
        <v>140.51595777438936</v>
      </c>
      <c r="G53" s="306">
        <f t="shared" ca="1" si="11"/>
        <v>11.934502557331886</v>
      </c>
      <c r="H53" s="307">
        <f t="shared" ca="1" si="12"/>
        <v>64.561080646963248</v>
      </c>
      <c r="I53" s="304">
        <f t="shared" ca="1" si="13"/>
        <v>65.654896889681083</v>
      </c>
      <c r="J53" s="306">
        <f t="shared" ca="1" si="14"/>
        <v>2.7484180857330265</v>
      </c>
      <c r="K53" s="307">
        <f t="shared" ca="1" si="15"/>
        <v>15.259899752779951</v>
      </c>
      <c r="L53" s="304">
        <f t="shared" ca="1" si="0"/>
        <v>15.505429450320879</v>
      </c>
      <c r="M53" s="306">
        <f t="shared" ca="1" si="16"/>
        <v>1.3880038073266858</v>
      </c>
      <c r="N53" s="304">
        <f t="shared" ca="1" si="17"/>
        <v>79.526760107908586</v>
      </c>
      <c r="P53" s="310">
        <f t="shared" ca="1" si="18"/>
        <v>7</v>
      </c>
      <c r="Q53" s="304">
        <f t="shared" ca="1" si="19"/>
        <v>1325.5866250000001</v>
      </c>
      <c r="R53" s="306">
        <f t="shared" ca="1" si="20"/>
        <v>0.65143535140297526</v>
      </c>
      <c r="S53" s="307">
        <f t="shared" ca="1" si="21"/>
        <v>8.7238190053884317</v>
      </c>
      <c r="T53" s="304">
        <f t="shared" ca="1" si="1"/>
        <v>85.580664442860524</v>
      </c>
      <c r="U53" s="311">
        <f t="shared" ca="1" si="2"/>
        <v>0</v>
      </c>
      <c r="V53" s="306">
        <f t="shared" ca="1" si="3"/>
        <v>1.2231320874881686</v>
      </c>
      <c r="W53" s="304">
        <f t="shared" ca="1" si="4"/>
        <v>16.382866540523832</v>
      </c>
      <c r="Y53" s="314" t="str">
        <f t="shared" ca="1" si="22"/>
        <v/>
      </c>
      <c r="Z53" s="315" t="str">
        <f t="shared" ca="1" si="23"/>
        <v/>
      </c>
      <c r="AA53" s="316" t="str">
        <f t="shared" ca="1" si="24"/>
        <v/>
      </c>
      <c r="AC53" s="310" t="e">
        <f t="shared" ca="1" si="25"/>
        <v>#N/A</v>
      </c>
      <c r="AD53" s="323" t="e">
        <f t="shared" ca="1" si="26"/>
        <v>#N/A</v>
      </c>
      <c r="AE53" s="324">
        <f t="shared" ca="1" si="5"/>
        <v>15.259899752779951</v>
      </c>
      <c r="AG53" s="306">
        <f t="shared" ca="1" si="27"/>
        <v>140.50467544162871</v>
      </c>
      <c r="AH53" s="304">
        <f t="shared" ca="1" si="28"/>
        <v>150.15172326484605</v>
      </c>
    </row>
    <row r="54" spans="1:34" x14ac:dyDescent="0.3">
      <c r="A54" s="347">
        <f t="shared" ca="1" si="6"/>
        <v>0.01</v>
      </c>
      <c r="B54" s="304">
        <f t="shared" ca="1" si="7"/>
        <v>0.50000000000000022</v>
      </c>
      <c r="D54" s="306">
        <f t="shared" ca="1" si="8"/>
        <v>27.285725569104819</v>
      </c>
      <c r="E54" s="307">
        <f t="shared" ca="1" si="9"/>
        <v>137.79530826612941</v>
      </c>
      <c r="F54" s="304">
        <f t="shared" ca="1" si="10"/>
        <v>140.4708432379835</v>
      </c>
      <c r="G54" s="306">
        <f t="shared" ca="1" si="11"/>
        <v>12.207359813022935</v>
      </c>
      <c r="H54" s="307">
        <f t="shared" ca="1" si="12"/>
        <v>65.939033729624541</v>
      </c>
      <c r="I54" s="304">
        <f t="shared" ca="1" si="13"/>
        <v>67.059494501533266</v>
      </c>
      <c r="J54" s="306">
        <f t="shared" ca="1" si="14"/>
        <v>2.8691273975848004</v>
      </c>
      <c r="K54" s="307">
        <f t="shared" ca="1" si="15"/>
        <v>15.91240032466289</v>
      </c>
      <c r="L54" s="304">
        <f t="shared" ca="1" si="0"/>
        <v>16.168994282759314</v>
      </c>
      <c r="M54" s="306">
        <f t="shared" ca="1" si="16"/>
        <v>1.3877378904290381</v>
      </c>
      <c r="N54" s="304">
        <f t="shared" ca="1" si="17"/>
        <v>79.511524191972157</v>
      </c>
      <c r="P54" s="310">
        <f t="shared" ca="1" si="18"/>
        <v>7</v>
      </c>
      <c r="Q54" s="304">
        <f t="shared" ca="1" si="19"/>
        <v>1324.903875</v>
      </c>
      <c r="R54" s="306">
        <f t="shared" ca="1" si="20"/>
        <v>0.651099826377464</v>
      </c>
      <c r="S54" s="307">
        <f t="shared" ca="1" si="21"/>
        <v>8.7173080071246574</v>
      </c>
      <c r="T54" s="304">
        <f t="shared" ca="1" si="1"/>
        <v>85.516791549892886</v>
      </c>
      <c r="U54" s="311">
        <f t="shared" ca="1" si="2"/>
        <v>0</v>
      </c>
      <c r="V54" s="306">
        <f t="shared" ca="1" si="3"/>
        <v>1.2230522806047659</v>
      </c>
      <c r="W54" s="304">
        <f t="shared" ca="1" si="4"/>
        <v>17.090228097164992</v>
      </c>
      <c r="Y54" s="314" t="str">
        <f t="shared" ca="1" si="22"/>
        <v/>
      </c>
      <c r="Z54" s="315" t="str">
        <f t="shared" ca="1" si="23"/>
        <v/>
      </c>
      <c r="AA54" s="316" t="str">
        <f t="shared" ca="1" si="24"/>
        <v/>
      </c>
      <c r="AC54" s="310" t="e">
        <f t="shared" ca="1" si="25"/>
        <v>#N/A</v>
      </c>
      <c r="AD54" s="323" t="e">
        <f t="shared" ca="1" si="26"/>
        <v>#N/A</v>
      </c>
      <c r="AE54" s="324">
        <f t="shared" ca="1" si="5"/>
        <v>15.91240032466289</v>
      </c>
      <c r="AG54" s="306">
        <f t="shared" ca="1" si="27"/>
        <v>140.45952409035419</v>
      </c>
      <c r="AH54" s="304">
        <f t="shared" ca="1" si="28"/>
        <v>150.10608864457029</v>
      </c>
    </row>
    <row r="55" spans="1:34" x14ac:dyDescent="0.3">
      <c r="A55" s="347">
        <f t="shared" ca="1" si="6"/>
        <v>0.01</v>
      </c>
      <c r="B55" s="304">
        <f t="shared" ca="1" si="7"/>
        <v>0.51000000000000023</v>
      </c>
      <c r="D55" s="306">
        <f t="shared" ca="1" si="8"/>
        <v>27.316338760687657</v>
      </c>
      <c r="E55" s="307">
        <f t="shared" ca="1" si="9"/>
        <v>137.7413960839659</v>
      </c>
      <c r="F55" s="304">
        <f t="shared" ca="1" si="10"/>
        <v>140.42391020922548</v>
      </c>
      <c r="G55" s="306">
        <f t="shared" ca="1" si="11"/>
        <v>12.480523200629811</v>
      </c>
      <c r="H55" s="307">
        <f t="shared" ca="1" si="12"/>
        <v>67.316447690464202</v>
      </c>
      <c r="I55" s="304">
        <f t="shared" ca="1" si="13"/>
        <v>68.4636223773214</v>
      </c>
      <c r="J55" s="306">
        <f t="shared" ca="1" si="14"/>
        <v>2.992566812653064</v>
      </c>
      <c r="K55" s="307">
        <f t="shared" ca="1" si="15"/>
        <v>16.578677731763335</v>
      </c>
      <c r="L55" s="304">
        <f t="shared" ca="1" si="0"/>
        <v>16.846602371453361</v>
      </c>
      <c r="M55" s="306">
        <f t="shared" ca="1" si="16"/>
        <v>1.3874770525808151</v>
      </c>
      <c r="N55" s="304">
        <f t="shared" ca="1" si="17"/>
        <v>79.496579284131712</v>
      </c>
      <c r="P55" s="310">
        <f t="shared" ca="1" si="18"/>
        <v>7</v>
      </c>
      <c r="Q55" s="304">
        <f t="shared" ca="1" si="19"/>
        <v>1324.221125</v>
      </c>
      <c r="R55" s="306">
        <f t="shared" ca="1" si="20"/>
        <v>0.65076430135195285</v>
      </c>
      <c r="S55" s="307">
        <f t="shared" ca="1" si="21"/>
        <v>8.7108003641111384</v>
      </c>
      <c r="T55" s="304">
        <f t="shared" ca="1" si="1"/>
        <v>85.452951571930271</v>
      </c>
      <c r="U55" s="311">
        <f t="shared" ca="1" si="2"/>
        <v>0</v>
      </c>
      <c r="V55" s="306">
        <f t="shared" ca="1" si="3"/>
        <v>1.2229707940554295</v>
      </c>
      <c r="W55" s="304">
        <f t="shared" ca="1" si="4"/>
        <v>17.812222840959087</v>
      </c>
      <c r="Y55" s="314" t="str">
        <f t="shared" ca="1" si="22"/>
        <v/>
      </c>
      <c r="Z55" s="315" t="str">
        <f t="shared" ca="1" si="23"/>
        <v/>
      </c>
      <c r="AA55" s="316" t="str">
        <f t="shared" ca="1" si="24"/>
        <v/>
      </c>
      <c r="AC55" s="310" t="e">
        <f t="shared" ca="1" si="25"/>
        <v>#N/A</v>
      </c>
      <c r="AD55" s="323" t="e">
        <f t="shared" ca="1" si="26"/>
        <v>#N/A</v>
      </c>
      <c r="AE55" s="324">
        <f t="shared" ca="1" si="5"/>
        <v>16.578677731763335</v>
      </c>
      <c r="AG55" s="306">
        <f t="shared" ca="1" si="27"/>
        <v>140.4125546779517</v>
      </c>
      <c r="AH55" s="304">
        <f t="shared" ca="1" si="28"/>
        <v>150.05864470138346</v>
      </c>
    </row>
    <row r="56" spans="1:34" x14ac:dyDescent="0.3">
      <c r="A56" s="347">
        <f t="shared" ca="1" si="6"/>
        <v>0.01</v>
      </c>
      <c r="B56" s="304">
        <f t="shared" ca="1" si="7"/>
        <v>0.52000000000000024</v>
      </c>
      <c r="D56" s="306">
        <f t="shared" ca="1" si="8"/>
        <v>27.345846126163018</v>
      </c>
      <c r="E56" s="307">
        <f t="shared" ca="1" si="9"/>
        <v>137.68583737085967</v>
      </c>
      <c r="F56" s="304">
        <f t="shared" ca="1" si="10"/>
        <v>140.37515846071415</v>
      </c>
      <c r="G56" s="306">
        <f t="shared" ca="1" si="11"/>
        <v>12.753981661891441</v>
      </c>
      <c r="H56" s="307">
        <f t="shared" ca="1" si="12"/>
        <v>68.693306064172802</v>
      </c>
      <c r="I56" s="304">
        <f t="shared" ca="1" si="13"/>
        <v>69.867262335502915</v>
      </c>
      <c r="J56" s="306">
        <f t="shared" ca="1" si="14"/>
        <v>3.1187393369656702</v>
      </c>
      <c r="K56" s="307">
        <f t="shared" ca="1" si="15"/>
        <v>17.258726500536522</v>
      </c>
      <c r="L56" s="304">
        <f t="shared" ca="1" si="0"/>
        <v>17.538248928335424</v>
      </c>
      <c r="M56" s="306">
        <f t="shared" ca="1" si="16"/>
        <v>1.3872210948778325</v>
      </c>
      <c r="N56" s="304">
        <f t="shared" ca="1" si="17"/>
        <v>79.481913988016942</v>
      </c>
      <c r="P56" s="310">
        <f t="shared" ca="1" si="18"/>
        <v>7</v>
      </c>
      <c r="Q56" s="304">
        <f t="shared" ca="1" si="19"/>
        <v>1323.5383750000001</v>
      </c>
      <c r="R56" s="306">
        <f t="shared" ca="1" si="20"/>
        <v>0.65042877632644169</v>
      </c>
      <c r="S56" s="307">
        <f t="shared" ca="1" si="21"/>
        <v>8.7042960763478732</v>
      </c>
      <c r="T56" s="304">
        <f t="shared" ca="1" si="1"/>
        <v>85.389144508972635</v>
      </c>
      <c r="U56" s="311">
        <f t="shared" ca="1" si="2"/>
        <v>0</v>
      </c>
      <c r="V56" s="306">
        <f t="shared" ca="1" si="3"/>
        <v>1.2228876288454857</v>
      </c>
      <c r="W56" s="304">
        <f t="shared" ca="1" si="4"/>
        <v>18.54882016765335</v>
      </c>
      <c r="Y56" s="314" t="str">
        <f t="shared" ca="1" si="22"/>
        <v/>
      </c>
      <c r="Z56" s="315" t="str">
        <f t="shared" ca="1" si="23"/>
        <v/>
      </c>
      <c r="AA56" s="316" t="str">
        <f t="shared" ca="1" si="24"/>
        <v/>
      </c>
      <c r="AC56" s="310" t="e">
        <f t="shared" ca="1" si="25"/>
        <v>#N/A</v>
      </c>
      <c r="AD56" s="323" t="e">
        <f t="shared" ca="1" si="26"/>
        <v>#N/A</v>
      </c>
      <c r="AE56" s="324">
        <f t="shared" ca="1" si="5"/>
        <v>17.258726500536522</v>
      </c>
      <c r="AG56" s="306">
        <f t="shared" ca="1" si="27"/>
        <v>140.36376695275362</v>
      </c>
      <c r="AH56" s="304">
        <f t="shared" ca="1" si="28"/>
        <v>150.00939084632958</v>
      </c>
    </row>
    <row r="57" spans="1:34" x14ac:dyDescent="0.3">
      <c r="A57" s="347">
        <f t="shared" ca="1" si="6"/>
        <v>0.01</v>
      </c>
      <c r="B57" s="304">
        <f t="shared" ca="1" si="7"/>
        <v>0.53000000000000025</v>
      </c>
      <c r="D57" s="306">
        <f t="shared" ca="1" si="8"/>
        <v>27.37427635638057</v>
      </c>
      <c r="E57" s="307">
        <f t="shared" ca="1" si="9"/>
        <v>137.62862692329045</v>
      </c>
      <c r="F57" s="304">
        <f t="shared" ca="1" si="10"/>
        <v>140.3245878484087</v>
      </c>
      <c r="G57" s="306">
        <f t="shared" ca="1" si="11"/>
        <v>13.027724425455247</v>
      </c>
      <c r="H57" s="307">
        <f t="shared" ca="1" si="12"/>
        <v>70.069592333405708</v>
      </c>
      <c r="I57" s="304">
        <f t="shared" ca="1" si="13"/>
        <v>71.270396192776076</v>
      </c>
      <c r="J57" s="306">
        <f t="shared" ca="1" si="14"/>
        <v>3.2476478674024039</v>
      </c>
      <c r="K57" s="307">
        <f t="shared" ca="1" si="15"/>
        <v>17.952540992524415</v>
      </c>
      <c r="L57" s="304">
        <f t="shared" ca="1" si="0"/>
        <v>18.243928983607475</v>
      </c>
      <c r="M57" s="306">
        <f t="shared" ca="1" si="16"/>
        <v>1.3869698299338704</v>
      </c>
      <c r="N57" s="304">
        <f t="shared" ca="1" si="17"/>
        <v>79.467517567188324</v>
      </c>
      <c r="P57" s="310">
        <f t="shared" ca="1" si="18"/>
        <v>7</v>
      </c>
      <c r="Q57" s="304">
        <f t="shared" ca="1" si="19"/>
        <v>1322.8556249999999</v>
      </c>
      <c r="R57" s="306">
        <f t="shared" ca="1" si="20"/>
        <v>0.65009325130093043</v>
      </c>
      <c r="S57" s="307">
        <f t="shared" ca="1" si="21"/>
        <v>8.6977951438348633</v>
      </c>
      <c r="T57" s="304">
        <f t="shared" ca="1" si="1"/>
        <v>85.325370361020006</v>
      </c>
      <c r="U57" s="311">
        <f t="shared" ca="1" si="2"/>
        <v>0</v>
      </c>
      <c r="V57" s="306">
        <f t="shared" ca="1" si="3"/>
        <v>1.22280278600713</v>
      </c>
      <c r="W57" s="304">
        <f t="shared" ca="1" si="4"/>
        <v>19.29998858980094</v>
      </c>
      <c r="Y57" s="314" t="str">
        <f t="shared" ca="1" si="22"/>
        <v/>
      </c>
      <c r="Z57" s="315" t="str">
        <f t="shared" ca="1" si="23"/>
        <v/>
      </c>
      <c r="AA57" s="316" t="str">
        <f t="shared" ca="1" si="24"/>
        <v/>
      </c>
      <c r="AC57" s="310" t="e">
        <f t="shared" ca="1" si="25"/>
        <v>#N/A</v>
      </c>
      <c r="AD57" s="323" t="e">
        <f t="shared" ca="1" si="26"/>
        <v>#N/A</v>
      </c>
      <c r="AE57" s="324">
        <f t="shared" ca="1" si="5"/>
        <v>17.952540992524415</v>
      </c>
      <c r="AG57" s="306">
        <f t="shared" ca="1" si="27"/>
        <v>140.31316074780199</v>
      </c>
      <c r="AH57" s="304">
        <f t="shared" ca="1" si="28"/>
        <v>149.9583265946267</v>
      </c>
    </row>
    <row r="58" spans="1:34" x14ac:dyDescent="0.3">
      <c r="A58" s="347">
        <f t="shared" ca="1" si="6"/>
        <v>0.01</v>
      </c>
      <c r="B58" s="304">
        <f t="shared" ca="1" si="7"/>
        <v>0.54000000000000026</v>
      </c>
      <c r="D58" s="306">
        <f t="shared" ca="1" si="8"/>
        <v>27.401656468851225</v>
      </c>
      <c r="E58" s="307">
        <f t="shared" ca="1" si="9"/>
        <v>137.56975991270181</v>
      </c>
      <c r="F58" s="304">
        <f t="shared" ca="1" si="10"/>
        <v>140.27219831340548</v>
      </c>
      <c r="G58" s="306">
        <f t="shared" ca="1" si="11"/>
        <v>13.30174099014376</v>
      </c>
      <c r="H58" s="307">
        <f t="shared" ca="1" si="12"/>
        <v>71.445289932532731</v>
      </c>
      <c r="I58" s="304">
        <f t="shared" ca="1" si="13"/>
        <v>72.673005764950531</v>
      </c>
      <c r="J58" s="306">
        <f t="shared" ca="1" si="14"/>
        <v>3.3792951944803988</v>
      </c>
      <c r="K58" s="307">
        <f t="shared" ca="1" si="15"/>
        <v>18.660115403854107</v>
      </c>
      <c r="L58" s="304">
        <f t="shared" ca="1" si="0"/>
        <v>18.963637385707198</v>
      </c>
      <c r="M58" s="306">
        <f t="shared" ca="1" si="16"/>
        <v>1.3867230810032967</v>
      </c>
      <c r="N58" s="304">
        <f t="shared" ca="1" si="17"/>
        <v>79.453379894867084</v>
      </c>
      <c r="P58" s="310">
        <f t="shared" ca="1" si="18"/>
        <v>7</v>
      </c>
      <c r="Q58" s="304">
        <f t="shared" ca="1" si="19"/>
        <v>1322.172875</v>
      </c>
      <c r="R58" s="306">
        <f t="shared" ca="1" si="20"/>
        <v>0.64975772627541928</v>
      </c>
      <c r="S58" s="307">
        <f t="shared" ca="1" si="21"/>
        <v>8.6912975665721088</v>
      </c>
      <c r="T58" s="304">
        <f t="shared" ca="1" si="1"/>
        <v>85.261629128072386</v>
      </c>
      <c r="U58" s="311">
        <f t="shared" ca="1" si="2"/>
        <v>0</v>
      </c>
      <c r="V58" s="306">
        <f t="shared" ca="1" si="3"/>
        <v>1.2227162665994682</v>
      </c>
      <c r="W58" s="304">
        <f t="shared" ca="1" si="4"/>
        <v>20.06569573865222</v>
      </c>
      <c r="Y58" s="314" t="str">
        <f t="shared" ca="1" si="22"/>
        <v/>
      </c>
      <c r="Z58" s="315" t="str">
        <f t="shared" ca="1" si="23"/>
        <v/>
      </c>
      <c r="AA58" s="316" t="str">
        <f t="shared" ca="1" si="24"/>
        <v/>
      </c>
      <c r="AC58" s="310" t="e">
        <f t="shared" ca="1" si="25"/>
        <v>#N/A</v>
      </c>
      <c r="AD58" s="323" t="e">
        <f t="shared" ca="1" si="26"/>
        <v>#N/A</v>
      </c>
      <c r="AE58" s="324">
        <f t="shared" ca="1" si="5"/>
        <v>18.660115403854107</v>
      </c>
      <c r="AG58" s="306">
        <f t="shared" ca="1" si="27"/>
        <v>140.26073598252194</v>
      </c>
      <c r="AH58" s="304">
        <f t="shared" ca="1" si="28"/>
        <v>149.90545156585389</v>
      </c>
    </row>
    <row r="59" spans="1:34" x14ac:dyDescent="0.3">
      <c r="A59" s="347">
        <f t="shared" ca="1" si="6"/>
        <v>0.01</v>
      </c>
      <c r="B59" s="304">
        <f t="shared" ca="1" si="7"/>
        <v>0.55000000000000027</v>
      </c>
      <c r="D59" s="306">
        <f t="shared" ca="1" si="8"/>
        <v>27.428011937356022</v>
      </c>
      <c r="E59" s="307">
        <f t="shared" ca="1" si="9"/>
        <v>137.50923186516593</v>
      </c>
      <c r="F59" s="304">
        <f t="shared" ca="1" si="10"/>
        <v>140.21798988355135</v>
      </c>
      <c r="G59" s="306">
        <f t="shared" ca="1" si="11"/>
        <v>13.57602110951732</v>
      </c>
      <c r="H59" s="307">
        <f t="shared" ca="1" si="12"/>
        <v>72.820382251184384</v>
      </c>
      <c r="I59" s="304">
        <f t="shared" ca="1" si="13"/>
        <v>74.075072867832333</v>
      </c>
      <c r="J59" s="306">
        <f t="shared" ca="1" si="14"/>
        <v>3.5136840049787041</v>
      </c>
      <c r="K59" s="307">
        <f t="shared" ca="1" si="15"/>
        <v>19.381443764772694</v>
      </c>
      <c r="L59" s="304">
        <f t="shared" ca="1" si="0"/>
        <v>19.697368801286366</v>
      </c>
      <c r="M59" s="306">
        <f t="shared" ca="1" si="16"/>
        <v>1.3864806811859327</v>
      </c>
      <c r="N59" s="304">
        <f t="shared" ca="1" si="17"/>
        <v>79.439491408377393</v>
      </c>
      <c r="P59" s="310">
        <f t="shared" ca="1" si="18"/>
        <v>7</v>
      </c>
      <c r="Q59" s="304">
        <f t="shared" ca="1" si="19"/>
        <v>1321.490125</v>
      </c>
      <c r="R59" s="306">
        <f t="shared" ca="1" si="20"/>
        <v>0.64942220124990824</v>
      </c>
      <c r="S59" s="307">
        <f t="shared" ca="1" si="21"/>
        <v>8.6848033445596098</v>
      </c>
      <c r="T59" s="304">
        <f t="shared" ca="1" si="1"/>
        <v>85.197920810129773</v>
      </c>
      <c r="U59" s="311">
        <f t="shared" ca="1" si="2"/>
        <v>0</v>
      </c>
      <c r="V59" s="306">
        <f t="shared" ca="1" si="3"/>
        <v>1.2226280717085549</v>
      </c>
      <c r="W59" s="304">
        <f t="shared" ca="1" si="4"/>
        <v>20.845908366154962</v>
      </c>
      <c r="Y59" s="314" t="str">
        <f t="shared" ca="1" si="22"/>
        <v/>
      </c>
      <c r="Z59" s="315" t="str">
        <f t="shared" ca="1" si="23"/>
        <v/>
      </c>
      <c r="AA59" s="316" t="str">
        <f t="shared" ca="1" si="24"/>
        <v/>
      </c>
      <c r="AC59" s="310" t="e">
        <f t="shared" ca="1" si="25"/>
        <v>#N/A</v>
      </c>
      <c r="AD59" s="323" t="e">
        <f t="shared" ca="1" si="26"/>
        <v>#N/A</v>
      </c>
      <c r="AE59" s="324">
        <f t="shared" ca="1" si="5"/>
        <v>19.381443764772694</v>
      </c>
      <c r="AG59" s="306">
        <f t="shared" ca="1" si="27"/>
        <v>140.20649266424169</v>
      </c>
      <c r="AH59" s="304">
        <f t="shared" ca="1" si="28"/>
        <v>149.85076548412513</v>
      </c>
    </row>
    <row r="60" spans="1:34" x14ac:dyDescent="0.3">
      <c r="A60" s="347">
        <f t="shared" ca="1" si="6"/>
        <v>0.01</v>
      </c>
      <c r="B60" s="304">
        <f t="shared" ca="1" si="7"/>
        <v>0.56000000000000028</v>
      </c>
      <c r="D60" s="306">
        <f t="shared" ca="1" si="8"/>
        <v>27.453366809386583</v>
      </c>
      <c r="E60" s="307">
        <f t="shared" ca="1" si="9"/>
        <v>137.44703864293621</v>
      </c>
      <c r="F60" s="304">
        <f t="shared" ca="1" si="10"/>
        <v>140.16196267491236</v>
      </c>
      <c r="G60" s="306">
        <f t="shared" ca="1" si="11"/>
        <v>13.850554777611187</v>
      </c>
      <c r="H60" s="307">
        <f t="shared" ca="1" si="12"/>
        <v>74.194852637613749</v>
      </c>
      <c r="I60" s="304">
        <f t="shared" ca="1" si="13"/>
        <v>75.476579318122432</v>
      </c>
      <c r="J60" s="306">
        <f t="shared" ca="1" si="14"/>
        <v>3.6508168844143465</v>
      </c>
      <c r="K60" s="307">
        <f t="shared" ca="1" si="15"/>
        <v>20.116519939216683</v>
      </c>
      <c r="L60" s="304">
        <f t="shared" ca="1" si="0"/>
        <v>20.445117715201036</v>
      </c>
      <c r="M60" s="306">
        <f t="shared" ca="1" si="16"/>
        <v>1.3862424727050642</v>
      </c>
      <c r="N60" s="304">
        <f t="shared" ca="1" si="17"/>
        <v>79.425843067779397</v>
      </c>
      <c r="P60" s="310">
        <f t="shared" ca="1" si="18"/>
        <v>7</v>
      </c>
      <c r="Q60" s="304">
        <f t="shared" ca="1" si="19"/>
        <v>1320.8073750000001</v>
      </c>
      <c r="R60" s="306">
        <f t="shared" ca="1" si="20"/>
        <v>0.64908667622439709</v>
      </c>
      <c r="S60" s="307">
        <f t="shared" ca="1" si="21"/>
        <v>8.6783124777973661</v>
      </c>
      <c r="T60" s="304">
        <f t="shared" ca="1" si="1"/>
        <v>85.134245407192168</v>
      </c>
      <c r="U60" s="311">
        <f t="shared" ca="1" si="2"/>
        <v>0</v>
      </c>
      <c r="V60" s="306">
        <f t="shared" ca="1" si="3"/>
        <v>1.2225382024474236</v>
      </c>
      <c r="W60" s="304">
        <f t="shared" ca="1" si="4"/>
        <v>21.640592347063734</v>
      </c>
      <c r="Y60" s="314" t="str">
        <f t="shared" ca="1" si="22"/>
        <v/>
      </c>
      <c r="Z60" s="315" t="str">
        <f t="shared" ca="1" si="23"/>
        <v/>
      </c>
      <c r="AA60" s="316" t="str">
        <f t="shared" ca="1" si="24"/>
        <v/>
      </c>
      <c r="AC60" s="310" t="e">
        <f t="shared" ca="1" si="25"/>
        <v>#N/A</v>
      </c>
      <c r="AD60" s="323" t="e">
        <f t="shared" ca="1" si="26"/>
        <v>#N/A</v>
      </c>
      <c r="AE60" s="324">
        <f t="shared" ca="1" si="5"/>
        <v>20.116519939216683</v>
      </c>
      <c r="AG60" s="306">
        <f t="shared" ca="1" si="27"/>
        <v>140.15043088957651</v>
      </c>
      <c r="AH60" s="304">
        <f t="shared" ca="1" si="28"/>
        <v>149.79426817825151</v>
      </c>
    </row>
    <row r="61" spans="1:34" x14ac:dyDescent="0.3">
      <c r="A61" s="347">
        <f t="shared" ca="1" si="6"/>
        <v>0.01</v>
      </c>
      <c r="B61" s="304">
        <f t="shared" ca="1" si="7"/>
        <v>0.57000000000000028</v>
      </c>
      <c r="D61" s="306">
        <f t="shared" ca="1" si="8"/>
        <v>27.477743812764242</v>
      </c>
      <c r="E61" s="307">
        <f t="shared" ca="1" si="9"/>
        <v>137.38317642767831</v>
      </c>
      <c r="F61" s="304">
        <f t="shared" ca="1" si="10"/>
        <v>140.10411689311093</v>
      </c>
      <c r="G61" s="306">
        <f t="shared" ca="1" si="11"/>
        <v>14.12533221573883</v>
      </c>
      <c r="H61" s="307">
        <f t="shared" ca="1" si="12"/>
        <v>75.568684401890536</v>
      </c>
      <c r="I61" s="304">
        <f t="shared" ca="1" si="13"/>
        <v>76.877506934327187</v>
      </c>
      <c r="J61" s="306">
        <f t="shared" ca="1" si="14"/>
        <v>3.7906963193810967</v>
      </c>
      <c r="K61" s="307">
        <f t="shared" ca="1" si="15"/>
        <v>20.865337624414206</v>
      </c>
      <c r="L61" s="304">
        <f t="shared" ca="1" si="0"/>
        <v>21.206878430513164</v>
      </c>
      <c r="M61" s="306">
        <f t="shared" ca="1" si="16"/>
        <v>1.3860083062506501</v>
      </c>
      <c r="N61" s="304">
        <f t="shared" ca="1" si="17"/>
        <v>79.412426318237934</v>
      </c>
      <c r="P61" s="310">
        <f t="shared" ca="1" si="18"/>
        <v>7</v>
      </c>
      <c r="Q61" s="304">
        <f t="shared" ca="1" si="19"/>
        <v>1320.1246249999999</v>
      </c>
      <c r="R61" s="306">
        <f t="shared" ca="1" si="20"/>
        <v>0.64875115119888582</v>
      </c>
      <c r="S61" s="307">
        <f t="shared" ca="1" si="21"/>
        <v>8.6718249662853779</v>
      </c>
      <c r="T61" s="304">
        <f t="shared" ca="1" si="1"/>
        <v>85.070602919259557</v>
      </c>
      <c r="U61" s="311">
        <f t="shared" ca="1" si="2"/>
        <v>0</v>
      </c>
      <c r="V61" s="306">
        <f t="shared" ca="1" si="3"/>
        <v>1.2224466599561137</v>
      </c>
      <c r="W61" s="304">
        <f t="shared" ca="1" si="4"/>
        <v>22.449712681158417</v>
      </c>
      <c r="Y61" s="314" t="str">
        <f t="shared" ca="1" si="22"/>
        <v/>
      </c>
      <c r="Z61" s="315" t="str">
        <f t="shared" ca="1" si="23"/>
        <v/>
      </c>
      <c r="AA61" s="316" t="str">
        <f t="shared" ca="1" si="24"/>
        <v/>
      </c>
      <c r="AC61" s="310" t="e">
        <f t="shared" ca="1" si="25"/>
        <v>#N/A</v>
      </c>
      <c r="AD61" s="323" t="e">
        <f t="shared" ca="1" si="26"/>
        <v>#N/A</v>
      </c>
      <c r="AE61" s="324">
        <f t="shared" ca="1" si="5"/>
        <v>20.865337624414206</v>
      </c>
      <c r="AG61" s="306">
        <f t="shared" ca="1" si="27"/>
        <v>140.09255084568895</v>
      </c>
      <c r="AH61" s="304">
        <f t="shared" ca="1" si="28"/>
        <v>149.73595958189048</v>
      </c>
    </row>
    <row r="62" spans="1:34" x14ac:dyDescent="0.3">
      <c r="A62" s="347">
        <f t="shared" ca="1" si="6"/>
        <v>0.01</v>
      </c>
      <c r="B62" s="304">
        <f t="shared" ca="1" si="7"/>
        <v>0.58000000000000029</v>
      </c>
      <c r="D62" s="306">
        <f t="shared" ca="1" si="8"/>
        <v>27.501164452614645</v>
      </c>
      <c r="E62" s="307">
        <f t="shared" ca="1" si="9"/>
        <v>137.31764170519895</v>
      </c>
      <c r="F62" s="304">
        <f t="shared" ca="1" si="10"/>
        <v>140.04445283454518</v>
      </c>
      <c r="G62" s="306">
        <f t="shared" ca="1" si="11"/>
        <v>14.400343860264977</v>
      </c>
      <c r="H62" s="307">
        <f t="shared" ca="1" si="12"/>
        <v>76.94186081894253</v>
      </c>
      <c r="I62" s="304">
        <f t="shared" ca="1" si="13"/>
        <v>78.277837537679815</v>
      </c>
      <c r="J62" s="306">
        <f t="shared" ca="1" si="14"/>
        <v>3.9333246997611155</v>
      </c>
      <c r="K62" s="307">
        <f t="shared" ca="1" si="15"/>
        <v>21.627890350518371</v>
      </c>
      <c r="L62" s="304">
        <f t="shared" ca="1" si="0"/>
        <v>21.982645068503391</v>
      </c>
      <c r="M62" s="306">
        <f t="shared" ca="1" si="16"/>
        <v>1.385778040380778</v>
      </c>
      <c r="N62" s="304">
        <f t="shared" ca="1" si="17"/>
        <v>79.399233055728345</v>
      </c>
      <c r="P62" s="310">
        <f t="shared" ca="1" si="18"/>
        <v>7</v>
      </c>
      <c r="Q62" s="304">
        <f t="shared" ca="1" si="19"/>
        <v>1319.441875</v>
      </c>
      <c r="R62" s="306">
        <f t="shared" ca="1" si="20"/>
        <v>0.64841562617337467</v>
      </c>
      <c r="S62" s="307">
        <f t="shared" ca="1" si="21"/>
        <v>8.6653408100236433</v>
      </c>
      <c r="T62" s="304">
        <f t="shared" ca="1" si="1"/>
        <v>85.006993346331939</v>
      </c>
      <c r="U62" s="311">
        <f t="shared" ca="1" si="2"/>
        <v>0</v>
      </c>
      <c r="V62" s="306">
        <f t="shared" ca="1" si="3"/>
        <v>1.2223534454016944</v>
      </c>
      <c r="W62" s="304">
        <f t="shared" ca="1" si="4"/>
        <v>23.273233495571986</v>
      </c>
      <c r="Y62" s="314" t="str">
        <f t="shared" ca="1" si="22"/>
        <v/>
      </c>
      <c r="Z62" s="315" t="str">
        <f t="shared" ca="1" si="23"/>
        <v/>
      </c>
      <c r="AA62" s="316" t="str">
        <f t="shared" ca="1" si="24"/>
        <v/>
      </c>
      <c r="AC62" s="310" t="e">
        <f t="shared" ca="1" si="25"/>
        <v>#N/A</v>
      </c>
      <c r="AD62" s="323" t="e">
        <f t="shared" ca="1" si="26"/>
        <v>#N/A</v>
      </c>
      <c r="AE62" s="324">
        <f t="shared" ca="1" si="5"/>
        <v>21.627890350518371</v>
      </c>
      <c r="AG62" s="306">
        <f t="shared" ca="1" si="27"/>
        <v>140.03285281143758</v>
      </c>
      <c r="AH62" s="304">
        <f t="shared" ca="1" si="28"/>
        <v>149.67583973368298</v>
      </c>
    </row>
    <row r="63" spans="1:34" x14ac:dyDescent="0.3">
      <c r="A63" s="347">
        <f t="shared" ca="1" si="6"/>
        <v>0.01</v>
      </c>
      <c r="B63" s="304">
        <f t="shared" ca="1" si="7"/>
        <v>0.5900000000000003</v>
      </c>
      <c r="D63" s="306">
        <f t="shared" ca="1" si="8"/>
        <v>27.523649099727205</v>
      </c>
      <c r="E63" s="307">
        <f t="shared" ca="1" si="9"/>
        <v>137.25043125151143</v>
      </c>
      <c r="F63" s="304">
        <f t="shared" ca="1" si="10"/>
        <v>139.98297088750039</v>
      </c>
      <c r="G63" s="306">
        <f t="shared" ca="1" si="11"/>
        <v>14.67558035126225</v>
      </c>
      <c r="H63" s="307">
        <f t="shared" ca="1" si="12"/>
        <v>78.314365131457649</v>
      </c>
      <c r="I63" s="304">
        <f t="shared" ca="1" si="13"/>
        <v>79.677552953072194</v>
      </c>
      <c r="J63" s="306">
        <f t="shared" ca="1" si="14"/>
        <v>4.0787043208187512</v>
      </c>
      <c r="K63" s="307">
        <f t="shared" ca="1" si="15"/>
        <v>22.404171480270371</v>
      </c>
      <c r="L63" s="304">
        <f t="shared" ca="1" si="0"/>
        <v>22.772411568694825</v>
      </c>
      <c r="M63" s="306">
        <f t="shared" ca="1" si="16"/>
        <v>1.3855515409752601</v>
      </c>
      <c r="N63" s="304">
        <f t="shared" ca="1" si="17"/>
        <v>79.386255595729949</v>
      </c>
      <c r="P63" s="310">
        <f t="shared" ca="1" si="18"/>
        <v>7</v>
      </c>
      <c r="Q63" s="304">
        <f t="shared" ca="1" si="19"/>
        <v>1318.759125</v>
      </c>
      <c r="R63" s="306">
        <f t="shared" ca="1" si="20"/>
        <v>0.64808010114786352</v>
      </c>
      <c r="S63" s="307">
        <f t="shared" ca="1" si="21"/>
        <v>8.6588600090121641</v>
      </c>
      <c r="T63" s="304">
        <f t="shared" ca="1" si="1"/>
        <v>84.943416688409329</v>
      </c>
      <c r="U63" s="311">
        <f t="shared" ca="1" si="2"/>
        <v>0</v>
      </c>
      <c r="V63" s="306">
        <f t="shared" ca="1" si="3"/>
        <v>1.2222585599782847</v>
      </c>
      <c r="W63" s="304">
        <f t="shared" ca="1" si="4"/>
        <v>24.111118047227627</v>
      </c>
      <c r="Y63" s="314" t="str">
        <f t="shared" ca="1" si="22"/>
        <v/>
      </c>
      <c r="Z63" s="315" t="str">
        <f t="shared" ca="1" si="23"/>
        <v/>
      </c>
      <c r="AA63" s="316" t="str">
        <f t="shared" ca="1" si="24"/>
        <v/>
      </c>
      <c r="AC63" s="310" t="e">
        <f t="shared" ca="1" si="25"/>
        <v>#N/A</v>
      </c>
      <c r="AD63" s="323" t="e">
        <f t="shared" ca="1" si="26"/>
        <v>#N/A</v>
      </c>
      <c r="AE63" s="324">
        <f t="shared" ca="1" si="5"/>
        <v>22.404171480270371</v>
      </c>
      <c r="AG63" s="306">
        <f t="shared" ca="1" si="27"/>
        <v>139.97133715842475</v>
      </c>
      <c r="AH63" s="304">
        <f t="shared" ca="1" si="28"/>
        <v>149.6139087773775</v>
      </c>
    </row>
    <row r="64" spans="1:34" x14ac:dyDescent="0.3">
      <c r="A64" s="347">
        <f t="shared" ca="1" si="6"/>
        <v>0.01</v>
      </c>
      <c r="B64" s="304">
        <f t="shared" ca="1" si="7"/>
        <v>0.60000000000000031</v>
      </c>
      <c r="D64" s="306">
        <f t="shared" ca="1" si="8"/>
        <v>27.545217071203204</v>
      </c>
      <c r="E64" s="307">
        <f t="shared" ca="1" si="9"/>
        <v>137.18154212009946</v>
      </c>
      <c r="F64" s="304">
        <f t="shared" ca="1" si="10"/>
        <v>139.91967153316338</v>
      </c>
      <c r="G64" s="306">
        <f t="shared" ca="1" si="11"/>
        <v>14.951032521974282</v>
      </c>
      <c r="H64" s="307">
        <f t="shared" ca="1" si="12"/>
        <v>79.686180552658641</v>
      </c>
      <c r="I64" s="304">
        <f t="shared" ca="1" si="13"/>
        <v>81.076635009995613</v>
      </c>
      <c r="J64" s="306">
        <f t="shared" ca="1" si="14"/>
        <v>4.2268373851849335</v>
      </c>
      <c r="K64" s="307">
        <f t="shared" ca="1" si="15"/>
        <v>23.194174208690953</v>
      </c>
      <c r="L64" s="304">
        <f t="shared" ca="1" si="0"/>
        <v>23.576171688887523</v>
      </c>
      <c r="M64" s="306">
        <f t="shared" ca="1" si="16"/>
        <v>1.3853286807360021</v>
      </c>
      <c r="N64" s="304">
        <f t="shared" ca="1" si="17"/>
        <v>79.373486644599197</v>
      </c>
      <c r="P64" s="310">
        <f t="shared" ca="1" si="18"/>
        <v>7</v>
      </c>
      <c r="Q64" s="304">
        <f t="shared" ca="1" si="19"/>
        <v>1318.0763750000001</v>
      </c>
      <c r="R64" s="306">
        <f t="shared" ca="1" si="20"/>
        <v>0.64774457612235237</v>
      </c>
      <c r="S64" s="307">
        <f t="shared" ca="1" si="21"/>
        <v>8.6523825632509404</v>
      </c>
      <c r="T64" s="304">
        <f t="shared" ca="1" si="1"/>
        <v>84.879872945491726</v>
      </c>
      <c r="U64" s="311">
        <f t="shared" ca="1" si="2"/>
        <v>0</v>
      </c>
      <c r="V64" s="306">
        <f t="shared" ca="1" si="3"/>
        <v>1.2221620049070652</v>
      </c>
      <c r="W64" s="304">
        <f t="shared" ca="1" si="4"/>
        <v>24.963328725384919</v>
      </c>
      <c r="Y64" s="314" t="str">
        <f t="shared" ca="1" si="22"/>
        <v/>
      </c>
      <c r="Z64" s="315" t="str">
        <f t="shared" ca="1" si="23"/>
        <v/>
      </c>
      <c r="AA64" s="316" t="str">
        <f t="shared" ca="1" si="24"/>
        <v/>
      </c>
      <c r="AC64" s="310" t="e">
        <f t="shared" ca="1" si="25"/>
        <v>#N/A</v>
      </c>
      <c r="AD64" s="323" t="e">
        <f t="shared" ca="1" si="26"/>
        <v>#N/A</v>
      </c>
      <c r="AE64" s="324">
        <f t="shared" ca="1" si="5"/>
        <v>23.194174208690953</v>
      </c>
      <c r="AG64" s="306">
        <f t="shared" ca="1" si="27"/>
        <v>139.90800435195197</v>
      </c>
      <c r="AH64" s="304">
        <f t="shared" ca="1" si="28"/>
        <v>149.55016696194184</v>
      </c>
    </row>
    <row r="65" spans="1:34" x14ac:dyDescent="0.3">
      <c r="A65" s="347">
        <f t="shared" ca="1" si="6"/>
        <v>0.01</v>
      </c>
      <c r="B65" s="304">
        <f t="shared" ca="1" si="7"/>
        <v>0.61000000000000032</v>
      </c>
      <c r="D65" s="306">
        <f t="shared" ca="1" si="8"/>
        <v>27.565886704187271</v>
      </c>
      <c r="E65" s="307">
        <f t="shared" ca="1" si="9"/>
        <v>137.11097163025468</v>
      </c>
      <c r="F65" s="304">
        <f t="shared" ca="1" si="10"/>
        <v>139.85455534654778</v>
      </c>
      <c r="G65" s="306">
        <f t="shared" ca="1" si="11"/>
        <v>15.226691389016155</v>
      </c>
      <c r="H65" s="307">
        <f t="shared" ca="1" si="12"/>
        <v>81.057290268961182</v>
      </c>
      <c r="I65" s="304">
        <f t="shared" ca="1" si="13"/>
        <v>82.475065543489976</v>
      </c>
      <c r="J65" s="306">
        <f t="shared" ca="1" si="14"/>
        <v>4.3777260047398858</v>
      </c>
      <c r="K65" s="307">
        <f t="shared" ca="1" si="15"/>
        <v>23.997891562799051</v>
      </c>
      <c r="L65" s="304">
        <f t="shared" ca="1" si="0"/>
        <v>24.393919005203688</v>
      </c>
      <c r="M65" s="306">
        <f t="shared" ca="1" si="16"/>
        <v>1.3851093387294138</v>
      </c>
      <c r="N65" s="304">
        <f t="shared" ca="1" si="17"/>
        <v>79.360919273351755</v>
      </c>
      <c r="P65" s="310">
        <f t="shared" ca="1" si="18"/>
        <v>7</v>
      </c>
      <c r="Q65" s="304">
        <f t="shared" ca="1" si="19"/>
        <v>1317.3936249999999</v>
      </c>
      <c r="R65" s="306">
        <f t="shared" ca="1" si="20"/>
        <v>0.64740905109684121</v>
      </c>
      <c r="S65" s="307">
        <f t="shared" ca="1" si="21"/>
        <v>8.645908472739972</v>
      </c>
      <c r="T65" s="304">
        <f t="shared" ca="1" si="1"/>
        <v>84.816362117579132</v>
      </c>
      <c r="U65" s="311">
        <f t="shared" ca="1" si="2"/>
        <v>0</v>
      </c>
      <c r="V65" s="306">
        <f t="shared" ca="1" si="3"/>
        <v>1.2220637814362922</v>
      </c>
      <c r="W65" s="304">
        <f t="shared" ca="1" si="4"/>
        <v>25.82982705429518</v>
      </c>
      <c r="Y65" s="314" t="str">
        <f t="shared" ca="1" si="22"/>
        <v/>
      </c>
      <c r="Z65" s="315" t="str">
        <f t="shared" ca="1" si="23"/>
        <v/>
      </c>
      <c r="AA65" s="316" t="str">
        <f t="shared" ca="1" si="24"/>
        <v/>
      </c>
      <c r="AC65" s="310" t="e">
        <f t="shared" ca="1" si="25"/>
        <v>#N/A</v>
      </c>
      <c r="AD65" s="323" t="e">
        <f t="shared" ca="1" si="26"/>
        <v>#N/A</v>
      </c>
      <c r="AE65" s="324">
        <f t="shared" ca="1" si="5"/>
        <v>23.997891562799051</v>
      </c>
      <c r="AG65" s="306">
        <f t="shared" ca="1" si="27"/>
        <v>139.84285495189187</v>
      </c>
      <c r="AH65" s="304">
        <f t="shared" ca="1" si="28"/>
        <v>149.48461464166201</v>
      </c>
    </row>
    <row r="66" spans="1:34" x14ac:dyDescent="0.3">
      <c r="A66" s="347">
        <f t="shared" ca="1" si="6"/>
        <v>0.01</v>
      </c>
      <c r="B66" s="304">
        <f t="shared" ca="1" si="7"/>
        <v>0.62000000000000033</v>
      </c>
      <c r="D66" s="306">
        <f t="shared" ca="1" si="8"/>
        <v>27.58567542338233</v>
      </c>
      <c r="E66" s="307">
        <f t="shared" ca="1" si="9"/>
        <v>137.03871735637946</v>
      </c>
      <c r="F66" s="304">
        <f t="shared" ca="1" si="10"/>
        <v>139.78762299733785</v>
      </c>
      <c r="G66" s="306">
        <f t="shared" ca="1" si="11"/>
        <v>15.502548143249978</v>
      </c>
      <c r="H66" s="307">
        <f t="shared" ca="1" si="12"/>
        <v>82.427677442524981</v>
      </c>
      <c r="I66" s="304">
        <f t="shared" ca="1" si="13"/>
        <v>83.872826395100844</v>
      </c>
      <c r="J66" s="306">
        <f t="shared" ca="1" si="14"/>
        <v>4.5313722024012169</v>
      </c>
      <c r="K66" s="307">
        <f t="shared" ca="1" si="15"/>
        <v>24.815316401356483</v>
      </c>
      <c r="L66" s="304">
        <f t="shared" ca="1" si="0"/>
        <v>25.225646912143336</v>
      </c>
      <c r="M66" s="306">
        <f t="shared" ca="1" si="16"/>
        <v>1.3848933999666728</v>
      </c>
      <c r="N66" s="304">
        <f t="shared" ca="1" si="17"/>
        <v>79.348546893613417</v>
      </c>
      <c r="P66" s="310">
        <f t="shared" ca="1" si="18"/>
        <v>7</v>
      </c>
      <c r="Q66" s="304">
        <f t="shared" ca="1" si="19"/>
        <v>1316.710875</v>
      </c>
      <c r="R66" s="306">
        <f t="shared" ca="1" si="20"/>
        <v>0.64707352607133006</v>
      </c>
      <c r="S66" s="307">
        <f t="shared" ca="1" si="21"/>
        <v>8.639437737479259</v>
      </c>
      <c r="T66" s="304">
        <f t="shared" ca="1" si="1"/>
        <v>84.752884204671531</v>
      </c>
      <c r="U66" s="311">
        <f t="shared" ca="1" si="2"/>
        <v>0</v>
      </c>
      <c r="V66" s="306">
        <f t="shared" ca="1" si="3"/>
        <v>1.221963890841304</v>
      </c>
      <c r="W66" s="304">
        <f t="shared" ca="1" si="4"/>
        <v>26.710573695965888</v>
      </c>
      <c r="Y66" s="314" t="str">
        <f t="shared" ca="1" si="22"/>
        <v/>
      </c>
      <c r="Z66" s="315" t="str">
        <f t="shared" ca="1" si="23"/>
        <v/>
      </c>
      <c r="AA66" s="316" t="str">
        <f t="shared" ca="1" si="24"/>
        <v/>
      </c>
      <c r="AC66" s="310" t="e">
        <f t="shared" ca="1" si="25"/>
        <v>#N/A</v>
      </c>
      <c r="AD66" s="323" t="e">
        <f t="shared" ca="1" si="26"/>
        <v>#N/A</v>
      </c>
      <c r="AE66" s="324">
        <f t="shared" ca="1" si="5"/>
        <v>24.815316401356483</v>
      </c>
      <c r="AG66" s="306">
        <f t="shared" ca="1" si="27"/>
        <v>139.77588961348249</v>
      </c>
      <c r="AH66" s="304">
        <f t="shared" ca="1" si="28"/>
        <v>149.4172522762282</v>
      </c>
    </row>
    <row r="67" spans="1:34" x14ac:dyDescent="0.3">
      <c r="A67" s="347">
        <f t="shared" ca="1" si="6"/>
        <v>0.01</v>
      </c>
      <c r="B67" s="304">
        <f t="shared" ca="1" si="7"/>
        <v>0.63000000000000034</v>
      </c>
      <c r="D67" s="306">
        <f t="shared" ca="1" si="8"/>
        <v>27.60459980296806</v>
      </c>
      <c r="E67" s="307">
        <f t="shared" ca="1" si="9"/>
        <v>136.96477711815865</v>
      </c>
      <c r="F67" s="304">
        <f t="shared" ca="1" si="10"/>
        <v>139.71887525065787</v>
      </c>
      <c r="G67" s="306">
        <f t="shared" ca="1" si="11"/>
        <v>15.778594141279658</v>
      </c>
      <c r="H67" s="307">
        <f t="shared" ca="1" si="12"/>
        <v>83.797325213706571</v>
      </c>
      <c r="I67" s="304">
        <f t="shared" ca="1" si="13"/>
        <v>85.269899413843149</v>
      </c>
      <c r="J67" s="306">
        <f t="shared" ca="1" si="14"/>
        <v>4.6877779138238651</v>
      </c>
      <c r="K67" s="307">
        <f t="shared" ca="1" si="15"/>
        <v>25.646441414637643</v>
      </c>
      <c r="L67" s="304">
        <f t="shared" ca="1" si="0"/>
        <v>26.071348622650415</v>
      </c>
      <c r="M67" s="306">
        <f t="shared" ca="1" si="16"/>
        <v>1.3846807550181424</v>
      </c>
      <c r="N67" s="304">
        <f t="shared" ca="1" si="17"/>
        <v>79.336363235527841</v>
      </c>
      <c r="P67" s="310">
        <f t="shared" ca="1" si="18"/>
        <v>7</v>
      </c>
      <c r="Q67" s="304">
        <f t="shared" ca="1" si="19"/>
        <v>1316.028125</v>
      </c>
      <c r="R67" s="306">
        <f t="shared" ca="1" si="20"/>
        <v>0.64673800104581891</v>
      </c>
      <c r="S67" s="307">
        <f t="shared" ca="1" si="21"/>
        <v>8.6329703574688015</v>
      </c>
      <c r="T67" s="304">
        <f t="shared" ca="1" si="1"/>
        <v>84.689439206768952</v>
      </c>
      <c r="U67" s="311">
        <f t="shared" ca="1" si="2"/>
        <v>0</v>
      </c>
      <c r="V67" s="306">
        <f t="shared" ca="1" si="3"/>
        <v>1.2218623344245247</v>
      </c>
      <c r="W67" s="304">
        <f t="shared" ca="1" si="4"/>
        <v>27.605528453033802</v>
      </c>
      <c r="Y67" s="314" t="str">
        <f t="shared" ca="1" si="22"/>
        <v/>
      </c>
      <c r="Z67" s="315" t="str">
        <f t="shared" ca="1" si="23"/>
        <v/>
      </c>
      <c r="AA67" s="316" t="str">
        <f t="shared" ca="1" si="24"/>
        <v/>
      </c>
      <c r="AC67" s="310" t="e">
        <f t="shared" ca="1" si="25"/>
        <v>#N/A</v>
      </c>
      <c r="AD67" s="323" t="e">
        <f t="shared" ca="1" si="26"/>
        <v>#N/A</v>
      </c>
      <c r="AE67" s="324">
        <f t="shared" ca="1" si="5"/>
        <v>25.646441414637643</v>
      </c>
      <c r="AG67" s="306">
        <f t="shared" ca="1" si="27"/>
        <v>139.70710908805162</v>
      </c>
      <c r="AH67" s="304">
        <f t="shared" ca="1" si="28"/>
        <v>149.34808043080827</v>
      </c>
    </row>
    <row r="68" spans="1:34" x14ac:dyDescent="0.3">
      <c r="A68" s="347">
        <f t="shared" ca="1" si="6"/>
        <v>0.01</v>
      </c>
      <c r="B68" s="304">
        <f t="shared" ca="1" si="7"/>
        <v>0.64000000000000035</v>
      </c>
      <c r="D68" s="306">
        <f t="shared" ca="1" si="8"/>
        <v>27.622675623470073</v>
      </c>
      <c r="E68" s="307">
        <f t="shared" ca="1" si="9"/>
        <v>136.88914897151432</v>
      </c>
      <c r="F68" s="304">
        <f t="shared" ca="1" si="10"/>
        <v>139.64831296777231</v>
      </c>
      <c r="G68" s="306">
        <f t="shared" ca="1" si="11"/>
        <v>16.054820897514357</v>
      </c>
      <c r="H68" s="307">
        <f t="shared" ca="1" si="12"/>
        <v>85.166216703421711</v>
      </c>
      <c r="I68" s="304">
        <f t="shared" ca="1" si="13"/>
        <v>86.666266457171503</v>
      </c>
      <c r="J68" s="306">
        <f t="shared" ca="1" si="14"/>
        <v>4.8469449890178353</v>
      </c>
      <c r="K68" s="307">
        <f t="shared" ca="1" si="15"/>
        <v>26.491259124223284</v>
      </c>
      <c r="L68" s="304">
        <f t="shared" ref="L68:L131" ca="1" si="29">SQRT(pos_x^2+pos_z^2)</f>
        <v>26.931017168189332</v>
      </c>
      <c r="M68" s="306">
        <f t="shared" ca="1" si="16"/>
        <v>1.3844712996586506</v>
      </c>
      <c r="N68" s="304">
        <f t="shared" ca="1" si="17"/>
        <v>79.324362327432567</v>
      </c>
      <c r="P68" s="310">
        <f t="shared" ca="1" si="18"/>
        <v>7</v>
      </c>
      <c r="Q68" s="304">
        <f t="shared" ca="1" si="19"/>
        <v>1315.3453749999999</v>
      </c>
      <c r="R68" s="306">
        <f t="shared" ca="1" si="20"/>
        <v>0.64640247602030765</v>
      </c>
      <c r="S68" s="307">
        <f t="shared" ca="1" si="21"/>
        <v>8.6265063327085976</v>
      </c>
      <c r="T68" s="304">
        <f t="shared" ref="T68:T131" ca="1" si="30">m*g</f>
        <v>84.626027123871353</v>
      </c>
      <c r="U68" s="311">
        <f t="shared" ref="U68:U131" ca="1" si="31">IF(pos_xz&lt;L_rampe,Poids*COS(Beta),0)</f>
        <v>0</v>
      </c>
      <c r="V68" s="306">
        <f t="shared" ref="V68:V131" ca="1" si="32">Rho_moyen*(20000-Alt_rampe-pos_z)/(20000+Alt_rampe+pos_z)</f>
        <v>1.2217591135154653</v>
      </c>
      <c r="W68" s="304">
        <f t="shared" ref="W68:W131" ca="1" si="33">1/2*Rho*Sref*Cx*vit_xz^2</f>
        <v>28.514650271746774</v>
      </c>
      <c r="Y68" s="314" t="str">
        <f t="shared" ca="1" si="22"/>
        <v/>
      </c>
      <c r="Z68" s="315" t="str">
        <f t="shared" ca="1" si="23"/>
        <v/>
      </c>
      <c r="AA68" s="316" t="str">
        <f t="shared" ca="1" si="24"/>
        <v/>
      </c>
      <c r="AC68" s="310" t="e">
        <f t="shared" ca="1" si="25"/>
        <v>#N/A</v>
      </c>
      <c r="AD68" s="323" t="e">
        <f t="shared" ca="1" si="26"/>
        <v>#N/A</v>
      </c>
      <c r="AE68" s="324">
        <f t="shared" ref="AE68:AE131" ca="1" si="34">IF(t&lt;T_para, pos_z, NA())</f>
        <v>26.491259124223284</v>
      </c>
      <c r="AG68" s="306">
        <f t="shared" ca="1" si="27"/>
        <v>139.63651422367525</v>
      </c>
      <c r="AH68" s="304">
        <f t="shared" ca="1" si="28"/>
        <v>149.27709977610766</v>
      </c>
    </row>
    <row r="69" spans="1:34" x14ac:dyDescent="0.3">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27.639917924067145</v>
      </c>
      <c r="E69" s="307">
        <f t="shared" ref="E69:E132" ca="1" si="38">IF(AND(L68&lt;L_rampe,Poussee&lt;Poids*SIN(M68)),0,(-W68+Poussee)/m*SIN(M68)+U68/m*COS(M68)-Poids/m)</f>
        <v>136.81183120026844</v>
      </c>
      <c r="F69" s="304">
        <f t="shared" ref="F69:F132" ca="1" si="39">SQRT(acc_x^2+acc_z^2)</f>
        <v>139.57593710672307</v>
      </c>
      <c r="G69" s="306">
        <f t="shared" ref="G69:G132" ca="1" si="40">G68+acc_x*pas</f>
        <v>16.331220076755027</v>
      </c>
      <c r="H69" s="307">
        <f t="shared" ref="H69:H132" ca="1" si="41">H68+acc_z*pas</f>
        <v>86.534335015424389</v>
      </c>
      <c r="I69" s="304">
        <f t="shared" ref="I69:I132" ca="1" si="42">SQRT(vit_x^2+vit_z^2)</f>
        <v>88.061909391956235</v>
      </c>
      <c r="J69" s="306">
        <f t="shared" ref="J69:J132" ca="1" si="43">J68+0.5*(vit_x+G68)*pas*(K68&gt;=0)</f>
        <v>5.0088751938891827</v>
      </c>
      <c r="K69" s="307">
        <f t="shared" ref="K69:K132" ca="1" si="44">K68+0.5*(vit_z+H68)*pas</f>
        <v>27.349761882817514</v>
      </c>
      <c r="L69" s="304">
        <f t="shared" ca="1" si="29"/>
        <v>27.804645398831759</v>
      </c>
      <c r="M69" s="306">
        <f t="shared" ref="M69:M132" ca="1" si="45">IF(AND(L68&gt;L_rampe,G69&gt;0),ATAN2(G69,H69),$M$4)</f>
        <v>1.3842649345407112</v>
      </c>
      <c r="N69" s="304">
        <f t="shared" ref="N69:N132" ca="1" si="46">DEGREES(Beta)</f>
        <v>79.312538477135917</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8.6200456631986491</v>
      </c>
      <c r="T69" s="304">
        <f t="shared" ca="1" si="30"/>
        <v>84.562647955978747</v>
      </c>
      <c r="U69" s="311">
        <f t="shared" ca="1" si="31"/>
        <v>0</v>
      </c>
      <c r="V69" s="306">
        <f t="shared" ca="1" si="32"/>
        <v>1.2216542294707193</v>
      </c>
      <c r="W69" s="304">
        <f t="shared" ca="1" si="33"/>
        <v>29.437897245053964</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27.349761882817514</v>
      </c>
      <c r="AG69" s="306">
        <f t="shared" ref="AG69:AG132" ca="1" si="56">IF(AND(L68&lt;L_rampe,Poussee&lt;Poids*SIN(M68)),0,(-W68+Poussee)/m-Poids*SIN(M68)/m)</f>
        <v>139.56410596577655</v>
      </c>
      <c r="AH69" s="304">
        <f t="shared" ref="AH69:AH132" ca="1" si="57">IF(AND(L68&lt;L_rampe,Poussee&lt;Poids*SIN(M68)), g*SIN(M68), (-W68+Poussee)/m)</f>
        <v>149.20431108841723</v>
      </c>
    </row>
    <row r="70" spans="1:34" x14ac:dyDescent="0.3">
      <c r="A70" s="347">
        <f t="shared" ca="1" si="35"/>
        <v>0.01</v>
      </c>
      <c r="B70" s="304">
        <f t="shared" ca="1" si="36"/>
        <v>0.66000000000000036</v>
      </c>
      <c r="D70" s="306">
        <f t="shared" ca="1" si="37"/>
        <v>27.65634105076834</v>
      </c>
      <c r="E70" s="307">
        <f t="shared" ca="1" si="38"/>
        <v>136.73282230844495</v>
      </c>
      <c r="F70" s="304">
        <f t="shared" ca="1" si="39"/>
        <v>139.50174872290739</v>
      </c>
      <c r="G70" s="306">
        <f t="shared" ca="1" si="40"/>
        <v>16.607783487262711</v>
      </c>
      <c r="H70" s="307">
        <f t="shared" ca="1" si="41"/>
        <v>87.901663238508846</v>
      </c>
      <c r="I70" s="304">
        <f t="shared" ca="1" si="42"/>
        <v>89.456810095464576</v>
      </c>
      <c r="J70" s="306">
        <f t="shared" ca="1" si="43"/>
        <v>5.1735702117092712</v>
      </c>
      <c r="K70" s="307">
        <f t="shared" ca="1" si="44"/>
        <v>28.221941874087179</v>
      </c>
      <c r="L70" s="304">
        <f t="shared" ca="1" si="29"/>
        <v>28.692225983353765</v>
      </c>
      <c r="M70" s="306">
        <f t="shared" ca="1" si="45"/>
        <v>1.3840615648930767</v>
      </c>
      <c r="N70" s="304">
        <f t="shared" ca="1" si="46"/>
        <v>79.300886254645405</v>
      </c>
      <c r="P70" s="310">
        <f t="shared" ca="1" si="47"/>
        <v>7</v>
      </c>
      <c r="Q70" s="304">
        <f t="shared" ca="1" si="48"/>
        <v>1313.979875</v>
      </c>
      <c r="R70" s="306">
        <f t="shared" ca="1" si="49"/>
        <v>0.64573142596928534</v>
      </c>
      <c r="S70" s="307">
        <f t="shared" ca="1" si="50"/>
        <v>8.613588348938956</v>
      </c>
      <c r="T70" s="304">
        <f t="shared" ca="1" si="30"/>
        <v>84.499301703091163</v>
      </c>
      <c r="U70" s="311">
        <f t="shared" ca="1" si="31"/>
        <v>0</v>
      </c>
      <c r="V70" s="306">
        <f t="shared" ca="1" si="32"/>
        <v>1.2215476836739589</v>
      </c>
      <c r="W70" s="304">
        <f t="shared" ca="1" si="33"/>
        <v>30.375226615804163</v>
      </c>
      <c r="Y70" s="314" t="str">
        <f t="shared" ca="1" si="51"/>
        <v/>
      </c>
      <c r="Z70" s="315" t="str">
        <f t="shared" ca="1" si="52"/>
        <v/>
      </c>
      <c r="AA70" s="316" t="str">
        <f t="shared" ca="1" si="53"/>
        <v/>
      </c>
      <c r="AC70" s="310" t="e">
        <f t="shared" ca="1" si="54"/>
        <v>#N/A</v>
      </c>
      <c r="AD70" s="323" t="e">
        <f t="shared" ca="1" si="55"/>
        <v>#N/A</v>
      </c>
      <c r="AE70" s="324">
        <f t="shared" ca="1" si="34"/>
        <v>28.221941874087179</v>
      </c>
      <c r="AG70" s="306">
        <f t="shared" ca="1" si="56"/>
        <v>139.48988535766844</v>
      </c>
      <c r="AH70" s="304">
        <f t="shared" ca="1" si="57"/>
        <v>149.12971524964729</v>
      </c>
    </row>
    <row r="71" spans="1:34" x14ac:dyDescent="0.3">
      <c r="A71" s="347">
        <f t="shared" ca="1" si="35"/>
        <v>0.01</v>
      </c>
      <c r="B71" s="304">
        <f t="shared" ca="1" si="36"/>
        <v>0.67000000000000037</v>
      </c>
      <c r="D71" s="306">
        <f t="shared" ca="1" si="37"/>
        <v>27.671958700846034</v>
      </c>
      <c r="E71" s="307">
        <f t="shared" ca="1" si="38"/>
        <v>136.65212101315157</v>
      </c>
      <c r="F71" s="304">
        <f t="shared" ca="1" si="39"/>
        <v>139.42574896960156</v>
      </c>
      <c r="G71" s="306">
        <f t="shared" ca="1" si="40"/>
        <v>16.884503074271173</v>
      </c>
      <c r="H71" s="307">
        <f t="shared" ca="1" si="41"/>
        <v>89.268184448640355</v>
      </c>
      <c r="I71" s="304">
        <f t="shared" ca="1" si="42"/>
        <v>90.850950456346624</v>
      </c>
      <c r="J71" s="306">
        <f t="shared" ca="1" si="43"/>
        <v>5.3410316445169403</v>
      </c>
      <c r="K71" s="307">
        <f t="shared" ca="1" si="44"/>
        <v>29.107791112522925</v>
      </c>
      <c r="L71" s="304">
        <f t="shared" ca="1" si="29"/>
        <v>29.593751409343156</v>
      </c>
      <c r="M71" s="306">
        <f t="shared" ca="1" si="45"/>
        <v>1.3838611002423005</v>
      </c>
      <c r="N71" s="304">
        <f t="shared" ca="1" si="46"/>
        <v>79.289400476214368</v>
      </c>
      <c r="P71" s="310">
        <f t="shared" ca="1" si="47"/>
        <v>7</v>
      </c>
      <c r="Q71" s="304">
        <f t="shared" ca="1" si="48"/>
        <v>1313.2971250000001</v>
      </c>
      <c r="R71" s="306">
        <f t="shared" ca="1" si="49"/>
        <v>0.6453959009437743</v>
      </c>
      <c r="S71" s="307">
        <f t="shared" ca="1" si="50"/>
        <v>8.6071343899295183</v>
      </c>
      <c r="T71" s="304">
        <f t="shared" ca="1" si="30"/>
        <v>84.435988365208573</v>
      </c>
      <c r="U71" s="311">
        <f t="shared" ca="1" si="31"/>
        <v>0</v>
      </c>
      <c r="V71" s="306">
        <f t="shared" ca="1" si="32"/>
        <v>1.2214394775359232</v>
      </c>
      <c r="W71" s="304">
        <f t="shared" ca="1" si="33"/>
        <v>31.326594780051881</v>
      </c>
      <c r="Y71" s="314" t="str">
        <f t="shared" ca="1" si="51"/>
        <v/>
      </c>
      <c r="Z71" s="315" t="str">
        <f t="shared" ca="1" si="52"/>
        <v/>
      </c>
      <c r="AA71" s="316" t="str">
        <f t="shared" ca="1" si="53"/>
        <v/>
      </c>
      <c r="AC71" s="310" t="e">
        <f t="shared" ca="1" si="54"/>
        <v>#N/A</v>
      </c>
      <c r="AD71" s="323" t="e">
        <f t="shared" ca="1" si="55"/>
        <v>#N/A</v>
      </c>
      <c r="AE71" s="324">
        <f t="shared" ca="1" si="34"/>
        <v>29.107791112522925</v>
      </c>
      <c r="AG71" s="306">
        <f t="shared" ca="1" si="56"/>
        <v>139.41385354104455</v>
      </c>
      <c r="AH71" s="304">
        <f t="shared" ca="1" si="57"/>
        <v>149.05331324734914</v>
      </c>
    </row>
    <row r="72" spans="1:34" x14ac:dyDescent="0.3">
      <c r="A72" s="347">
        <f t="shared" ca="1" si="35"/>
        <v>0.01</v>
      </c>
      <c r="B72" s="304">
        <f t="shared" ca="1" si="36"/>
        <v>0.68000000000000038</v>
      </c>
      <c r="D72" s="306">
        <f t="shared" ca="1" si="37"/>
        <v>27.686783963868539</v>
      </c>
      <c r="E72" s="307">
        <f t="shared" ca="1" si="38"/>
        <v>136.56972623798757</v>
      </c>
      <c r="F72" s="304">
        <f t="shared" ca="1" si="39"/>
        <v>139.34793909843373</v>
      </c>
      <c r="G72" s="306">
        <f t="shared" ca="1" si="40"/>
        <v>17.16137091390986</v>
      </c>
      <c r="H72" s="307">
        <f t="shared" ca="1" si="41"/>
        <v>90.633881711020237</v>
      </c>
      <c r="I72" s="304">
        <f t="shared" ca="1" si="42"/>
        <v>92.244312375625626</v>
      </c>
      <c r="J72" s="306">
        <f t="shared" ca="1" si="43"/>
        <v>5.5112610144578458</v>
      </c>
      <c r="K72" s="307">
        <f t="shared" ca="1" si="44"/>
        <v>30.007301443321229</v>
      </c>
      <c r="L72" s="304">
        <f t="shared" ca="1" si="29"/>
        <v>30.509213983317093</v>
      </c>
      <c r="M72" s="306">
        <f t="shared" ca="1" si="45"/>
        <v>1.3836634541552273</v>
      </c>
      <c r="N72" s="304">
        <f t="shared" ca="1" si="46"/>
        <v>79.278076189587793</v>
      </c>
      <c r="P72" s="310">
        <f t="shared" ca="1" si="47"/>
        <v>7</v>
      </c>
      <c r="Q72" s="304">
        <f t="shared" ca="1" si="48"/>
        <v>1312.6143749999999</v>
      </c>
      <c r="R72" s="306">
        <f t="shared" ca="1" si="49"/>
        <v>0.64506037591826304</v>
      </c>
      <c r="S72" s="307">
        <f t="shared" ca="1" si="50"/>
        <v>8.600683786170336</v>
      </c>
      <c r="T72" s="304">
        <f t="shared" ca="1" si="30"/>
        <v>84.372707942331004</v>
      </c>
      <c r="U72" s="311">
        <f t="shared" ca="1" si="31"/>
        <v>0</v>
      </c>
      <c r="V72" s="306">
        <f t="shared" ca="1" si="32"/>
        <v>1.2213296124944077</v>
      </c>
      <c r="W72" s="304">
        <f t="shared" ca="1" si="33"/>
        <v>32.291957290471032</v>
      </c>
      <c r="Y72" s="314" t="str">
        <f t="shared" ca="1" si="51"/>
        <v/>
      </c>
      <c r="Z72" s="315" t="str">
        <f t="shared" ca="1" si="52"/>
        <v/>
      </c>
      <c r="AA72" s="316" t="str">
        <f t="shared" ca="1" si="53"/>
        <v/>
      </c>
      <c r="AC72" s="310" t="e">
        <f t="shared" ca="1" si="54"/>
        <v>#N/A</v>
      </c>
      <c r="AD72" s="323" t="e">
        <f t="shared" ca="1" si="55"/>
        <v>#N/A</v>
      </c>
      <c r="AE72" s="324">
        <f t="shared" ca="1" si="34"/>
        <v>30.007301443321229</v>
      </c>
      <c r="AG72" s="306">
        <f t="shared" ca="1" si="56"/>
        <v>139.33601175642184</v>
      </c>
      <c r="AH72" s="304">
        <f t="shared" ca="1" si="57"/>
        <v>148.97510617472341</v>
      </c>
    </row>
    <row r="73" spans="1:34" x14ac:dyDescent="0.3">
      <c r="A73" s="347">
        <f t="shared" ca="1" si="35"/>
        <v>0.01</v>
      </c>
      <c r="B73" s="304">
        <f t="shared" ca="1" si="36"/>
        <v>0.69000000000000039</v>
      </c>
      <c r="D73" s="306">
        <f t="shared" ca="1" si="37"/>
        <v>27.700829359639847</v>
      </c>
      <c r="E73" s="307">
        <f t="shared" ca="1" si="38"/>
        <v>136.48563710692852</v>
      </c>
      <c r="F73" s="304">
        <f t="shared" ca="1" si="39"/>
        <v>139.26832045980905</v>
      </c>
      <c r="G73" s="306">
        <f t="shared" ca="1" si="40"/>
        <v>17.438379207506259</v>
      </c>
      <c r="H73" s="307">
        <f t="shared" ca="1" si="41"/>
        <v>91.998738082089517</v>
      </c>
      <c r="I73" s="304">
        <f t="shared" ca="1" si="42"/>
        <v>93.636877767692013</v>
      </c>
      <c r="J73" s="306">
        <f t="shared" ca="1" si="43"/>
        <v>5.684259765064926</v>
      </c>
      <c r="K73" s="307">
        <f t="shared" ca="1" si="44"/>
        <v>30.920464542286776</v>
      </c>
      <c r="L73" s="304">
        <f t="shared" ca="1" si="29"/>
        <v>31.438605830849905</v>
      </c>
      <c r="M73" s="306">
        <f t="shared" ca="1" si="45"/>
        <v>1.3834685440005479</v>
      </c>
      <c r="N73" s="304">
        <f t="shared" ca="1" si="46"/>
        <v>79.26690866034042</v>
      </c>
      <c r="P73" s="310">
        <f t="shared" ca="1" si="47"/>
        <v>7</v>
      </c>
      <c r="Q73" s="304">
        <f t="shared" ca="1" si="48"/>
        <v>1311.9316249999999</v>
      </c>
      <c r="R73" s="306">
        <f t="shared" ca="1" si="49"/>
        <v>0.64472485089275189</v>
      </c>
      <c r="S73" s="307">
        <f t="shared" ca="1" si="50"/>
        <v>8.5942365376614092</v>
      </c>
      <c r="T73" s="304">
        <f t="shared" ca="1" si="30"/>
        <v>84.30946043445843</v>
      </c>
      <c r="U73" s="311">
        <f t="shared" ca="1" si="31"/>
        <v>0</v>
      </c>
      <c r="V73" s="306">
        <f t="shared" ca="1" si="32"/>
        <v>1.2212180900142506</v>
      </c>
      <c r="W73" s="304">
        <f t="shared" ca="1" si="33"/>
        <v>33.271268859875676</v>
      </c>
      <c r="Y73" s="314" t="str">
        <f t="shared" ca="1" si="51"/>
        <v/>
      </c>
      <c r="Z73" s="315" t="str">
        <f t="shared" ca="1" si="52"/>
        <v/>
      </c>
      <c r="AA73" s="316" t="str">
        <f t="shared" ca="1" si="53"/>
        <v/>
      </c>
      <c r="AC73" s="310" t="e">
        <f t="shared" ca="1" si="54"/>
        <v>#N/A</v>
      </c>
      <c r="AD73" s="323" t="e">
        <f t="shared" ca="1" si="55"/>
        <v>#N/A</v>
      </c>
      <c r="AE73" s="324">
        <f t="shared" ca="1" si="34"/>
        <v>30.920464542286776</v>
      </c>
      <c r="AG73" s="306">
        <f t="shared" ca="1" si="56"/>
        <v>139.25636134353778</v>
      </c>
      <c r="AH73" s="304">
        <f t="shared" ca="1" si="57"/>
        <v>148.89509523061531</v>
      </c>
    </row>
    <row r="74" spans="1:34" x14ac:dyDescent="0.3">
      <c r="A74" s="347">
        <f t="shared" ca="1" si="35"/>
        <v>0.01</v>
      </c>
      <c r="B74" s="304">
        <f t="shared" ca="1" si="36"/>
        <v>0.7000000000000004</v>
      </c>
      <c r="D74" s="306">
        <f t="shared" ca="1" si="37"/>
        <v>27.714106873322379</v>
      </c>
      <c r="E74" s="307">
        <f t="shared" ca="1" si="38"/>
        <v>136.39985293864535</v>
      </c>
      <c r="F74" s="304">
        <f t="shared" ca="1" si="39"/>
        <v>139.18689450329012</v>
      </c>
      <c r="G74" s="306">
        <f t="shared" ca="1" si="40"/>
        <v>17.715520276239481</v>
      </c>
      <c r="H74" s="307">
        <f t="shared" ca="1" si="41"/>
        <v>93.362736611475967</v>
      </c>
      <c r="I74" s="304">
        <f t="shared" ca="1" si="42"/>
        <v>95.028628561300863</v>
      </c>
      <c r="J74" s="306">
        <f t="shared" ca="1" si="43"/>
        <v>5.8600292624836543</v>
      </c>
      <c r="K74" s="307">
        <f t="shared" ca="1" si="44"/>
        <v>31.847271915754604</v>
      </c>
      <c r="L74" s="304">
        <f t="shared" ca="1" si="29"/>
        <v>32.38191889671112</v>
      </c>
      <c r="M74" s="306">
        <f t="shared" ca="1" si="45"/>
        <v>1.3832762907277469</v>
      </c>
      <c r="N74" s="304">
        <f t="shared" ca="1" si="46"/>
        <v>79.255893359211356</v>
      </c>
      <c r="P74" s="310">
        <f t="shared" ca="1" si="47"/>
        <v>7</v>
      </c>
      <c r="Q74" s="304">
        <f t="shared" ca="1" si="48"/>
        <v>1311.248875</v>
      </c>
      <c r="R74" s="306">
        <f t="shared" ca="1" si="49"/>
        <v>0.64438932586724074</v>
      </c>
      <c r="S74" s="307">
        <f t="shared" ca="1" si="50"/>
        <v>8.5877926444027359</v>
      </c>
      <c r="T74" s="304">
        <f t="shared" ca="1" si="30"/>
        <v>84.246245841590849</v>
      </c>
      <c r="U74" s="311">
        <f t="shared" ca="1" si="31"/>
        <v>0</v>
      </c>
      <c r="V74" s="306">
        <f t="shared" ca="1" si="32"/>
        <v>1.2211049115873109</v>
      </c>
      <c r="W74" s="304">
        <f t="shared" ca="1" si="33"/>
        <v>34.264483364847386</v>
      </c>
      <c r="Y74" s="314" t="str">
        <f t="shared" ca="1" si="51"/>
        <v/>
      </c>
      <c r="Z74" s="315" t="str">
        <f t="shared" ca="1" si="52"/>
        <v/>
      </c>
      <c r="AA74" s="316" t="str">
        <f t="shared" ca="1" si="53"/>
        <v/>
      </c>
      <c r="AC74" s="310" t="e">
        <f t="shared" ca="1" si="54"/>
        <v>#N/A</v>
      </c>
      <c r="AD74" s="323" t="e">
        <f t="shared" ca="1" si="55"/>
        <v>#N/A</v>
      </c>
      <c r="AE74" s="324">
        <f t="shared" ca="1" si="34"/>
        <v>31.847271915754604</v>
      </c>
      <c r="AG74" s="306">
        <f t="shared" ca="1" si="56"/>
        <v>139.17490374170481</v>
      </c>
      <c r="AH74" s="304">
        <f t="shared" ca="1" si="57"/>
        <v>148.81328171949653</v>
      </c>
    </row>
    <row r="75" spans="1:34" x14ac:dyDescent="0.3">
      <c r="A75" s="347">
        <f t="shared" ca="1" si="35"/>
        <v>0.01</v>
      </c>
      <c r="B75" s="304">
        <f t="shared" ca="1" si="36"/>
        <v>0.71000000000000041</v>
      </c>
      <c r="D75" s="306">
        <f t="shared" ca="1" si="37"/>
        <v>27.726627987989605</v>
      </c>
      <c r="E75" s="307">
        <f t="shared" ca="1" si="38"/>
        <v>136.31237324121921</v>
      </c>
      <c r="F75" s="304">
        <f t="shared" ca="1" si="39"/>
        <v>139.10366277793631</v>
      </c>
      <c r="G75" s="306">
        <f t="shared" ca="1" si="40"/>
        <v>17.992786556119377</v>
      </c>
      <c r="H75" s="307">
        <f t="shared" ca="1" si="41"/>
        <v>94.725860343888158</v>
      </c>
      <c r="I75" s="304">
        <f t="shared" ca="1" si="42"/>
        <v>96.419546700572454</v>
      </c>
      <c r="J75" s="306">
        <f t="shared" ca="1" si="43"/>
        <v>6.0385707966454483</v>
      </c>
      <c r="K75" s="307">
        <f t="shared" ca="1" si="44"/>
        <v>32.787714900531427</v>
      </c>
      <c r="L75" s="304">
        <f t="shared" ca="1" si="29"/>
        <v>33.339144945013658</v>
      </c>
      <c r="M75" s="306">
        <f t="shared" ca="1" si="45"/>
        <v>1.3830866186619368</v>
      </c>
      <c r="N75" s="304">
        <f t="shared" ca="1" si="46"/>
        <v>79.245025950348904</v>
      </c>
      <c r="P75" s="310">
        <f t="shared" ca="1" si="47"/>
        <v>7</v>
      </c>
      <c r="Q75" s="304">
        <f t="shared" ca="1" si="48"/>
        <v>1310.5661249999998</v>
      </c>
      <c r="R75" s="306">
        <f t="shared" ca="1" si="49"/>
        <v>0.64405380084172947</v>
      </c>
      <c r="S75" s="307">
        <f t="shared" ca="1" si="50"/>
        <v>8.5813521063943181</v>
      </c>
      <c r="T75" s="304">
        <f t="shared" ca="1" si="30"/>
        <v>84.183064163728261</v>
      </c>
      <c r="U75" s="311">
        <f t="shared" ca="1" si="31"/>
        <v>0</v>
      </c>
      <c r="V75" s="306">
        <f t="shared" ca="1" si="32"/>
        <v>1.2209900787324495</v>
      </c>
      <c r="W75" s="304">
        <f t="shared" ca="1" si="33"/>
        <v>35.271553849469029</v>
      </c>
      <c r="Y75" s="314" t="str">
        <f t="shared" ca="1" si="51"/>
        <v/>
      </c>
      <c r="Z75" s="315" t="str">
        <f t="shared" ca="1" si="52"/>
        <v/>
      </c>
      <c r="AA75" s="316" t="str">
        <f t="shared" ca="1" si="53"/>
        <v/>
      </c>
      <c r="AC75" s="310" t="e">
        <f t="shared" ca="1" si="54"/>
        <v>#N/A</v>
      </c>
      <c r="AD75" s="323" t="e">
        <f t="shared" ca="1" si="55"/>
        <v>#N/A</v>
      </c>
      <c r="AE75" s="324">
        <f t="shared" ca="1" si="34"/>
        <v>32.787714900531427</v>
      </c>
      <c r="AG75" s="306">
        <f t="shared" ca="1" si="56"/>
        <v>139.09164049012549</v>
      </c>
      <c r="AH75" s="304">
        <f t="shared" ca="1" si="57"/>
        <v>148.72966705143443</v>
      </c>
    </row>
    <row r="76" spans="1:34" x14ac:dyDescent="0.3">
      <c r="A76" s="347">
        <f t="shared" ca="1" si="35"/>
        <v>0.01</v>
      </c>
      <c r="B76" s="304">
        <f t="shared" ca="1" si="36"/>
        <v>0.72000000000000042</v>
      </c>
      <c r="D76" s="306">
        <f t="shared" ca="1" si="37"/>
        <v>27.738403714831499</v>
      </c>
      <c r="E76" s="307">
        <f t="shared" ca="1" si="38"/>
        <v>136.22319770721597</v>
      </c>
      <c r="F76" s="304">
        <f t="shared" ca="1" si="39"/>
        <v>139.01862693260293</v>
      </c>
      <c r="G76" s="306">
        <f t="shared" ca="1" si="40"/>
        <v>18.270170593267693</v>
      </c>
      <c r="H76" s="307">
        <f t="shared" ca="1" si="41"/>
        <v>96.088092320960314</v>
      </c>
      <c r="I76" s="304">
        <f t="shared" ca="1" si="42"/>
        <v>97.809614145995354</v>
      </c>
      <c r="J76" s="306">
        <f t="shared" ca="1" si="43"/>
        <v>6.2198855823923838</v>
      </c>
      <c r="K76" s="307">
        <f t="shared" ca="1" si="44"/>
        <v>33.741784663855668</v>
      </c>
      <c r="L76" s="304">
        <f t="shared" ca="1" si="29"/>
        <v>34.310275559372272</v>
      </c>
      <c r="M76" s="306">
        <f t="shared" ca="1" si="45"/>
        <v>1.3828994553132286</v>
      </c>
      <c r="N76" s="304">
        <f t="shared" ca="1" si="46"/>
        <v>79.234302280388377</v>
      </c>
      <c r="P76" s="310">
        <f t="shared" ca="1" si="47"/>
        <v>7</v>
      </c>
      <c r="Q76" s="304">
        <f t="shared" ca="1" si="48"/>
        <v>1309.8833749999999</v>
      </c>
      <c r="R76" s="306">
        <f t="shared" ca="1" si="49"/>
        <v>0.64371827581621832</v>
      </c>
      <c r="S76" s="307">
        <f t="shared" ca="1" si="50"/>
        <v>8.5749149236361557</v>
      </c>
      <c r="T76" s="304">
        <f t="shared" ca="1" si="30"/>
        <v>84.119915400870696</v>
      </c>
      <c r="U76" s="311">
        <f t="shared" ca="1" si="31"/>
        <v>0</v>
      </c>
      <c r="V76" s="306">
        <f t="shared" ca="1" si="32"/>
        <v>1.2208735929955066</v>
      </c>
      <c r="W76" s="304">
        <f t="shared" ca="1" si="33"/>
        <v>36.292432529164401</v>
      </c>
      <c r="Y76" s="314" t="str">
        <f t="shared" ca="1" si="51"/>
        <v/>
      </c>
      <c r="Z76" s="315" t="str">
        <f t="shared" ca="1" si="52"/>
        <v/>
      </c>
      <c r="AA76" s="316" t="str">
        <f t="shared" ca="1" si="53"/>
        <v/>
      </c>
      <c r="AC76" s="310" t="e">
        <f t="shared" ca="1" si="54"/>
        <v>#N/A</v>
      </c>
      <c r="AD76" s="323" t="e">
        <f t="shared" ca="1" si="55"/>
        <v>#N/A</v>
      </c>
      <c r="AE76" s="324">
        <f t="shared" ca="1" si="34"/>
        <v>33.741784663855668</v>
      </c>
      <c r="AG76" s="306">
        <f t="shared" ca="1" si="56"/>
        <v>139.00657322816954</v>
      </c>
      <c r="AH76" s="304">
        <f t="shared" ca="1" si="57"/>
        <v>148.64425274204788</v>
      </c>
    </row>
    <row r="77" spans="1:34" x14ac:dyDescent="0.3">
      <c r="A77" s="347">
        <f t="shared" ca="1" si="35"/>
        <v>0.01</v>
      </c>
      <c r="B77" s="304">
        <f t="shared" ca="1" si="36"/>
        <v>0.73000000000000043</v>
      </c>
      <c r="D77" s="306">
        <f t="shared" ca="1" si="37"/>
        <v>27.749444621212078</v>
      </c>
      <c r="E77" s="307">
        <f t="shared" ca="1" si="38"/>
        <v>136.13232620909019</v>
      </c>
      <c r="F77" s="304">
        <f t="shared" ca="1" si="39"/>
        <v>138.93178871620367</v>
      </c>
      <c r="G77" s="306">
        <f t="shared" ca="1" si="40"/>
        <v>18.547665039479813</v>
      </c>
      <c r="H77" s="307">
        <f t="shared" ca="1" si="41"/>
        <v>97.44941558305122</v>
      </c>
      <c r="I77" s="304">
        <f t="shared" ca="1" si="42"/>
        <v>99.198812875431969</v>
      </c>
      <c r="J77" s="306">
        <f t="shared" ca="1" si="43"/>
        <v>6.403974760556121</v>
      </c>
      <c r="K77" s="307">
        <f t="shared" ca="1" si="44"/>
        <v>34.709472203375725</v>
      </c>
      <c r="L77" s="304">
        <f t="shared" ca="1" si="29"/>
        <v>35.295302143072128</v>
      </c>
      <c r="M77" s="306">
        <f t="shared" ca="1" si="45"/>
        <v>1.3827147311994155</v>
      </c>
      <c r="N77" s="304">
        <f t="shared" ca="1" si="46"/>
        <v>79.223718368292595</v>
      </c>
      <c r="P77" s="310">
        <f t="shared" ca="1" si="47"/>
        <v>7</v>
      </c>
      <c r="Q77" s="304">
        <f t="shared" ca="1" si="48"/>
        <v>1309.2006249999999</v>
      </c>
      <c r="R77" s="306">
        <f t="shared" ca="1" si="49"/>
        <v>0.64338275079070717</v>
      </c>
      <c r="S77" s="307">
        <f t="shared" ca="1" si="50"/>
        <v>8.5684810961282487</v>
      </c>
      <c r="T77" s="304">
        <f t="shared" ca="1" si="30"/>
        <v>84.056799553018124</v>
      </c>
      <c r="U77" s="311">
        <f t="shared" ca="1" si="31"/>
        <v>0</v>
      </c>
      <c r="V77" s="306">
        <f t="shared" ca="1" si="32"/>
        <v>1.2207554559492737</v>
      </c>
      <c r="W77" s="304">
        <f t="shared" ca="1" si="33"/>
        <v>37.327070794642999</v>
      </c>
      <c r="Y77" s="314" t="str">
        <f t="shared" ca="1" si="51"/>
        <v/>
      </c>
      <c r="Z77" s="315" t="str">
        <f t="shared" ca="1" si="52"/>
        <v/>
      </c>
      <c r="AA77" s="316" t="str">
        <f t="shared" ca="1" si="53"/>
        <v/>
      </c>
      <c r="AC77" s="310" t="e">
        <f t="shared" ca="1" si="54"/>
        <v>#N/A</v>
      </c>
      <c r="AD77" s="323" t="e">
        <f t="shared" ca="1" si="55"/>
        <v>#N/A</v>
      </c>
      <c r="AE77" s="324">
        <f t="shared" ca="1" si="34"/>
        <v>34.709472203375725</v>
      </c>
      <c r="AG77" s="306">
        <f t="shared" ca="1" si="56"/>
        <v>138.91970369561517</v>
      </c>
      <c r="AH77" s="304">
        <f t="shared" ca="1" si="57"/>
        <v>148.55704041244971</v>
      </c>
    </row>
    <row r="78" spans="1:34" x14ac:dyDescent="0.3">
      <c r="A78" s="347">
        <f t="shared" ca="1" si="35"/>
        <v>0.01</v>
      </c>
      <c r="B78" s="304">
        <f t="shared" ca="1" si="36"/>
        <v>0.74000000000000044</v>
      </c>
      <c r="D78" s="306">
        <f t="shared" ca="1" si="37"/>
        <v>27.759760856760085</v>
      </c>
      <c r="E78" s="307">
        <f t="shared" ca="1" si="38"/>
        <v>136.03975879488922</v>
      </c>
      <c r="F78" s="304">
        <f t="shared" ca="1" si="39"/>
        <v>138.84314997793788</v>
      </c>
      <c r="G78" s="306">
        <f t="shared" ca="1" si="40"/>
        <v>18.825262648047413</v>
      </c>
      <c r="H78" s="307">
        <f t="shared" ca="1" si="41"/>
        <v>98.809813171000116</v>
      </c>
      <c r="I78" s="304">
        <f t="shared" ca="1" si="42"/>
        <v>100.58712488512592</v>
      </c>
      <c r="J78" s="306">
        <f t="shared" ca="1" si="43"/>
        <v>6.590839398993757</v>
      </c>
      <c r="K78" s="307">
        <f t="shared" ca="1" si="44"/>
        <v>35.690768347145983</v>
      </c>
      <c r="L78" s="304">
        <f t="shared" ca="1" si="29"/>
        <v>36.294215919247598</v>
      </c>
      <c r="M78" s="306">
        <f t="shared" ca="1" si="45"/>
        <v>1.3825323796808668</v>
      </c>
      <c r="N78" s="304">
        <f t="shared" ca="1" si="46"/>
        <v>79.213270395891968</v>
      </c>
      <c r="P78" s="310">
        <f t="shared" ca="1" si="47"/>
        <v>7</v>
      </c>
      <c r="Q78" s="304">
        <f t="shared" ca="1" si="48"/>
        <v>1308.517875</v>
      </c>
      <c r="R78" s="306">
        <f t="shared" ca="1" si="49"/>
        <v>0.64304722576519613</v>
      </c>
      <c r="S78" s="307">
        <f t="shared" ca="1" si="50"/>
        <v>8.5620506238705971</v>
      </c>
      <c r="T78" s="304">
        <f t="shared" ca="1" si="30"/>
        <v>83.993716620170559</v>
      </c>
      <c r="U78" s="311">
        <f t="shared" ca="1" si="31"/>
        <v>0</v>
      </c>
      <c r="V78" s="306">
        <f t="shared" ca="1" si="32"/>
        <v>1.2206356691934648</v>
      </c>
      <c r="W78" s="304">
        <f t="shared" ca="1" si="33"/>
        <v>38.375419215949805</v>
      </c>
      <c r="Y78" s="314" t="str">
        <f t="shared" ca="1" si="51"/>
        <v/>
      </c>
      <c r="Z78" s="315" t="str">
        <f t="shared" ca="1" si="52"/>
        <v/>
      </c>
      <c r="AA78" s="316" t="str">
        <f t="shared" ca="1" si="53"/>
        <v/>
      </c>
      <c r="AC78" s="310" t="e">
        <f t="shared" ca="1" si="54"/>
        <v>#N/A</v>
      </c>
      <c r="AD78" s="323" t="e">
        <f t="shared" ca="1" si="55"/>
        <v>#N/A</v>
      </c>
      <c r="AE78" s="324">
        <f t="shared" ca="1" si="34"/>
        <v>35.690768347145983</v>
      </c>
      <c r="AG78" s="306">
        <f t="shared" ca="1" si="56"/>
        <v>138.83103373285689</v>
      </c>
      <c r="AH78" s="304">
        <f t="shared" ca="1" si="57"/>
        <v>148.46803178917634</v>
      </c>
    </row>
    <row r="79" spans="1:34" x14ac:dyDescent="0.3">
      <c r="A79" s="347">
        <f t="shared" ca="1" si="35"/>
        <v>0.01</v>
      </c>
      <c r="B79" s="304">
        <f t="shared" ca="1" si="36"/>
        <v>0.75000000000000044</v>
      </c>
      <c r="D79" s="306">
        <f t="shared" ca="1" si="37"/>
        <v>27.769362177655815</v>
      </c>
      <c r="E79" s="307">
        <f t="shared" ca="1" si="38"/>
        <v>135.94549568423204</v>
      </c>
      <c r="F79" s="304">
        <f t="shared" ca="1" si="39"/>
        <v>138.75271266748399</v>
      </c>
      <c r="G79" s="306">
        <f t="shared" ca="1" si="40"/>
        <v>19.10295626982397</v>
      </c>
      <c r="H79" s="307">
        <f t="shared" ca="1" si="41"/>
        <v>100.16926812784243</v>
      </c>
      <c r="I79" s="304">
        <f t="shared" ca="1" si="42"/>
        <v>101.9745321907112</v>
      </c>
      <c r="J79" s="306">
        <f t="shared" ca="1" si="43"/>
        <v>6.7804804935831138</v>
      </c>
      <c r="K79" s="307">
        <f t="shared" ca="1" si="44"/>
        <v>36.685663753640199</v>
      </c>
      <c r="L79" s="304">
        <f t="shared" ca="1" si="29"/>
        <v>37.307007931071226</v>
      </c>
      <c r="M79" s="306">
        <f t="shared" ca="1" si="45"/>
        <v>1.3823523368066351</v>
      </c>
      <c r="N79" s="304">
        <f t="shared" ca="1" si="46"/>
        <v>79.202954699067078</v>
      </c>
      <c r="P79" s="310">
        <f t="shared" ca="1" si="47"/>
        <v>7</v>
      </c>
      <c r="Q79" s="304">
        <f t="shared" ca="1" si="48"/>
        <v>1307.8351249999998</v>
      </c>
      <c r="R79" s="306">
        <f t="shared" ca="1" si="49"/>
        <v>0.64271170073968487</v>
      </c>
      <c r="S79" s="307">
        <f t="shared" ca="1" si="50"/>
        <v>8.5556235068632009</v>
      </c>
      <c r="T79" s="304">
        <f t="shared" ca="1" si="30"/>
        <v>83.930666602328003</v>
      </c>
      <c r="U79" s="311">
        <f t="shared" ca="1" si="31"/>
        <v>0</v>
      </c>
      <c r="V79" s="306">
        <f t="shared" ca="1" si="32"/>
        <v>1.2205142343546862</v>
      </c>
      <c r="W79" s="304">
        <f t="shared" ca="1" si="33"/>
        <v>39.43742754661929</v>
      </c>
      <c r="Y79" s="314" t="str">
        <f t="shared" ca="1" si="51"/>
        <v/>
      </c>
      <c r="Z79" s="315" t="str">
        <f t="shared" ca="1" si="52"/>
        <v/>
      </c>
      <c r="AA79" s="316" t="str">
        <f t="shared" ca="1" si="53"/>
        <v/>
      </c>
      <c r="AC79" s="310" t="e">
        <f t="shared" ca="1" si="54"/>
        <v>#N/A</v>
      </c>
      <c r="AD79" s="323" t="e">
        <f t="shared" ca="1" si="55"/>
        <v>#N/A</v>
      </c>
      <c r="AE79" s="324">
        <f t="shared" ca="1" si="34"/>
        <v>36.685663753640199</v>
      </c>
      <c r="AG79" s="306">
        <f t="shared" ca="1" si="56"/>
        <v>138.74056528108136</v>
      </c>
      <c r="AH79" s="304">
        <f t="shared" ca="1" si="57"/>
        <v>148.37722870410408</v>
      </c>
    </row>
    <row r="80" spans="1:34" x14ac:dyDescent="0.3">
      <c r="A80" s="347">
        <f t="shared" ca="1" si="35"/>
        <v>0.01</v>
      </c>
      <c r="B80" s="304">
        <f t="shared" ca="1" si="36"/>
        <v>0.76000000000000045</v>
      </c>
      <c r="D80" s="306">
        <f t="shared" ca="1" si="37"/>
        <v>27.778257969261155</v>
      </c>
      <c r="E80" s="307">
        <f t="shared" ca="1" si="38"/>
        <v>135.84953726453963</v>
      </c>
      <c r="F80" s="304">
        <f t="shared" ca="1" si="39"/>
        <v>138.66047883516185</v>
      </c>
      <c r="G80" s="306">
        <f t="shared" ca="1" si="40"/>
        <v>19.380738849516582</v>
      </c>
      <c r="H80" s="307">
        <f t="shared" ca="1" si="41"/>
        <v>101.52776350048782</v>
      </c>
      <c r="I80" s="304">
        <f t="shared" ca="1" si="42"/>
        <v>103.36101682822276</v>
      </c>
      <c r="J80" s="306">
        <f t="shared" ca="1" si="43"/>
        <v>6.9728989691798162</v>
      </c>
      <c r="K80" s="307">
        <f t="shared" ca="1" si="44"/>
        <v>37.694148911781852</v>
      </c>
      <c r="L80" s="304">
        <f t="shared" ca="1" si="29"/>
        <v>38.333669041952845</v>
      </c>
      <c r="M80" s="306">
        <f t="shared" ca="1" si="45"/>
        <v>1.3821745411708748</v>
      </c>
      <c r="N80" s="304">
        <f t="shared" ca="1" si="46"/>
        <v>79.19276775952217</v>
      </c>
      <c r="P80" s="310">
        <f t="shared" ca="1" si="47"/>
        <v>7</v>
      </c>
      <c r="Q80" s="304">
        <f t="shared" ca="1" si="48"/>
        <v>1307.1523749999999</v>
      </c>
      <c r="R80" s="306">
        <f t="shared" ca="1" si="49"/>
        <v>0.64237617571417371</v>
      </c>
      <c r="S80" s="307">
        <f t="shared" ca="1" si="50"/>
        <v>8.5491997451060584</v>
      </c>
      <c r="T80" s="304">
        <f t="shared" ca="1" si="30"/>
        <v>83.86764949949044</v>
      </c>
      <c r="U80" s="311">
        <f t="shared" ca="1" si="31"/>
        <v>0</v>
      </c>
      <c r="V80" s="306">
        <f t="shared" ca="1" si="32"/>
        <v>1.2203911530864004</v>
      </c>
      <c r="W80" s="304">
        <f t="shared" ca="1" si="33"/>
        <v>40.513044727933149</v>
      </c>
      <c r="Y80" s="314" t="str">
        <f t="shared" ca="1" si="51"/>
        <v/>
      </c>
      <c r="Z80" s="315" t="str">
        <f t="shared" ca="1" si="52"/>
        <v/>
      </c>
      <c r="AA80" s="316" t="str">
        <f t="shared" ca="1" si="53"/>
        <v/>
      </c>
      <c r="AC80" s="310" t="e">
        <f t="shared" ca="1" si="54"/>
        <v>#N/A</v>
      </c>
      <c r="AD80" s="323" t="e">
        <f t="shared" ca="1" si="55"/>
        <v>#N/A</v>
      </c>
      <c r="AE80" s="324">
        <f t="shared" ca="1" si="34"/>
        <v>37.694148911781852</v>
      </c>
      <c r="AG80" s="306">
        <f t="shared" ca="1" si="56"/>
        <v>138.64830038241209</v>
      </c>
      <c r="AH80" s="304">
        <f t="shared" ca="1" si="57"/>
        <v>148.28463309435213</v>
      </c>
    </row>
    <row r="81" spans="1:34" x14ac:dyDescent="0.3">
      <c r="A81" s="347">
        <f t="shared" ca="1" si="35"/>
        <v>0.01</v>
      </c>
      <c r="B81" s="304">
        <f t="shared" ca="1" si="36"/>
        <v>0.77000000000000046</v>
      </c>
      <c r="D81" s="306">
        <f t="shared" ca="1" si="37"/>
        <v>27.786457267226208</v>
      </c>
      <c r="E81" s="307">
        <f t="shared" ca="1" si="38"/>
        <v>135.75188408749557</v>
      </c>
      <c r="F81" s="304">
        <f t="shared" ca="1" si="39"/>
        <v>138.56645063206398</v>
      </c>
      <c r="G81" s="306">
        <f t="shared" ca="1" si="40"/>
        <v>19.658603422188843</v>
      </c>
      <c r="H81" s="307">
        <f t="shared" ca="1" si="41"/>
        <v>102.88528234136278</v>
      </c>
      <c r="I81" s="304">
        <f t="shared" ca="1" si="42"/>
        <v>104.74656085510794</v>
      </c>
      <c r="J81" s="306">
        <f t="shared" ca="1" si="43"/>
        <v>7.1680956805383431</v>
      </c>
      <c r="K81" s="307">
        <f t="shared" ca="1" si="44"/>
        <v>38.716214140991106</v>
      </c>
      <c r="L81" s="304">
        <f t="shared" ca="1" si="29"/>
        <v>39.37418993574893</v>
      </c>
      <c r="M81" s="306">
        <f t="shared" ca="1" si="45"/>
        <v>1.3819989337787482</v>
      </c>
      <c r="N81" s="304">
        <f t="shared" ca="1" si="46"/>
        <v>79.182706197102007</v>
      </c>
      <c r="P81" s="310">
        <f t="shared" ca="1" si="47"/>
        <v>7</v>
      </c>
      <c r="Q81" s="304">
        <f t="shared" ca="1" si="48"/>
        <v>1306.469625</v>
      </c>
      <c r="R81" s="306">
        <f t="shared" ca="1" si="49"/>
        <v>0.64204065068866256</v>
      </c>
      <c r="S81" s="307">
        <f t="shared" ca="1" si="50"/>
        <v>8.5427793385991713</v>
      </c>
      <c r="T81" s="304">
        <f t="shared" ca="1" si="30"/>
        <v>83.804665311657871</v>
      </c>
      <c r="U81" s="311">
        <f t="shared" ca="1" si="31"/>
        <v>0</v>
      </c>
      <c r="V81" s="306">
        <f t="shared" ca="1" si="32"/>
        <v>1.2202664270688917</v>
      </c>
      <c r="W81" s="304">
        <f t="shared" ca="1" si="33"/>
        <v>41.602218893281062</v>
      </c>
      <c r="Y81" s="314" t="str">
        <f t="shared" ca="1" si="51"/>
        <v/>
      </c>
      <c r="Z81" s="315" t="str">
        <f t="shared" ca="1" si="52"/>
        <v/>
      </c>
      <c r="AA81" s="316" t="str">
        <f t="shared" ca="1" si="53"/>
        <v/>
      </c>
      <c r="AC81" s="310" t="e">
        <f t="shared" ca="1" si="54"/>
        <v>#N/A</v>
      </c>
      <c r="AD81" s="323" t="e">
        <f t="shared" ca="1" si="55"/>
        <v>#N/A</v>
      </c>
      <c r="AE81" s="324">
        <f t="shared" ca="1" si="34"/>
        <v>38.716214140991106</v>
      </c>
      <c r="AG81" s="306">
        <f t="shared" ca="1" si="56"/>
        <v>138.55424118002549</v>
      </c>
      <c r="AH81" s="304">
        <f t="shared" ca="1" si="57"/>
        <v>148.19024700217247</v>
      </c>
    </row>
    <row r="82" spans="1:34" x14ac:dyDescent="0.3">
      <c r="A82" s="347">
        <f t="shared" ca="1" si="35"/>
        <v>0.01</v>
      </c>
      <c r="B82" s="304">
        <f t="shared" ca="1" si="36"/>
        <v>0.78000000000000047</v>
      </c>
      <c r="D82" s="306">
        <f t="shared" ca="1" si="37"/>
        <v>27.793968777194458</v>
      </c>
      <c r="E82" s="307">
        <f t="shared" ca="1" si="38"/>
        <v>135.65253686571793</v>
      </c>
      <c r="F82" s="304">
        <f t="shared" ca="1" si="39"/>
        <v>138.47063031015864</v>
      </c>
      <c r="G82" s="306">
        <f t="shared" ca="1" si="40"/>
        <v>19.936543109960787</v>
      </c>
      <c r="H82" s="307">
        <f t="shared" ca="1" si="41"/>
        <v>104.24180771001996</v>
      </c>
      <c r="I82" s="304">
        <f t="shared" ca="1" si="42"/>
        <v>106.13114635123894</v>
      </c>
      <c r="J82" s="306">
        <f t="shared" ca="1" si="43"/>
        <v>7.3660714131990916</v>
      </c>
      <c r="K82" s="307">
        <f t="shared" ca="1" si="44"/>
        <v>39.751849591248018</v>
      </c>
      <c r="L82" s="304">
        <f t="shared" ca="1" si="29"/>
        <v>40.428561116982067</v>
      </c>
      <c r="M82" s="306">
        <f t="shared" ca="1" si="45"/>
        <v>1.3818254579210798</v>
      </c>
      <c r="N82" s="304">
        <f t="shared" ca="1" si="46"/>
        <v>79.172766762610209</v>
      </c>
      <c r="P82" s="310">
        <f t="shared" ca="1" si="47"/>
        <v>7</v>
      </c>
      <c r="Q82" s="304">
        <f t="shared" ca="1" si="48"/>
        <v>1305.786875</v>
      </c>
      <c r="R82" s="306">
        <f t="shared" ca="1" si="49"/>
        <v>0.64170512566315141</v>
      </c>
      <c r="S82" s="307">
        <f t="shared" ca="1" si="50"/>
        <v>8.5363622873425395</v>
      </c>
      <c r="T82" s="304">
        <f t="shared" ca="1" si="30"/>
        <v>83.741714038830324</v>
      </c>
      <c r="U82" s="311">
        <f t="shared" ca="1" si="31"/>
        <v>0</v>
      </c>
      <c r="V82" s="306">
        <f t="shared" ca="1" si="32"/>
        <v>1.2201400580092243</v>
      </c>
      <c r="W82" s="304">
        <f t="shared" ca="1" si="33"/>
        <v>42.704897372623947</v>
      </c>
      <c r="Y82" s="314" t="str">
        <f t="shared" ca="1" si="51"/>
        <v/>
      </c>
      <c r="Z82" s="315" t="str">
        <f t="shared" ca="1" si="52"/>
        <v/>
      </c>
      <c r="AA82" s="316" t="str">
        <f t="shared" ca="1" si="53"/>
        <v/>
      </c>
      <c r="AC82" s="310" t="e">
        <f t="shared" ca="1" si="54"/>
        <v>#N/A</v>
      </c>
      <c r="AD82" s="323" t="e">
        <f t="shared" ca="1" si="55"/>
        <v>#N/A</v>
      </c>
      <c r="AE82" s="324">
        <f t="shared" ca="1" si="34"/>
        <v>39.751849591248018</v>
      </c>
      <c r="AG82" s="306">
        <f t="shared" ca="1" si="56"/>
        <v>138.45838991823894</v>
      </c>
      <c r="AH82" s="304">
        <f t="shared" ca="1" si="57"/>
        <v>148.09407257482661</v>
      </c>
    </row>
    <row r="83" spans="1:34" x14ac:dyDescent="0.3">
      <c r="A83" s="347">
        <f t="shared" ca="1" si="35"/>
        <v>0.01</v>
      </c>
      <c r="B83" s="304">
        <f t="shared" ca="1" si="36"/>
        <v>0.79000000000000048</v>
      </c>
      <c r="D83" s="306">
        <f t="shared" ca="1" si="37"/>
        <v>27.800800893215175</v>
      </c>
      <c r="E83" s="307">
        <f t="shared" ca="1" si="38"/>
        <v>135.55149646962485</v>
      </c>
      <c r="F83" s="304">
        <f t="shared" ca="1" si="39"/>
        <v>138.37302022236457</v>
      </c>
      <c r="G83" s="306">
        <f t="shared" ca="1" si="40"/>
        <v>20.214551118892938</v>
      </c>
      <c r="H83" s="307">
        <f t="shared" ca="1" si="41"/>
        <v>105.59732267471621</v>
      </c>
      <c r="I83" s="304">
        <f t="shared" ca="1" si="42"/>
        <v>107.51475541992583</v>
      </c>
      <c r="J83" s="306">
        <f t="shared" ca="1" si="43"/>
        <v>7.5668268843433601</v>
      </c>
      <c r="K83" s="307">
        <f t="shared" ca="1" si="44"/>
        <v>40.8010452431717</v>
      </c>
      <c r="L83" s="304">
        <f t="shared" ca="1" si="29"/>
        <v>41.496772911070629</v>
      </c>
      <c r="M83" s="306">
        <f t="shared" ca="1" si="45"/>
        <v>1.3816540590570769</v>
      </c>
      <c r="N83" s="304">
        <f t="shared" ca="1" si="46"/>
        <v>79.162946331089501</v>
      </c>
      <c r="P83" s="310">
        <f t="shared" ca="1" si="47"/>
        <v>7</v>
      </c>
      <c r="Q83" s="304">
        <f t="shared" ca="1" si="48"/>
        <v>1305.1041249999998</v>
      </c>
      <c r="R83" s="306">
        <f t="shared" ca="1" si="49"/>
        <v>0.64136960063764015</v>
      </c>
      <c r="S83" s="307">
        <f t="shared" ca="1" si="50"/>
        <v>8.5299485913361632</v>
      </c>
      <c r="T83" s="304">
        <f t="shared" ca="1" si="30"/>
        <v>83.67879568100777</v>
      </c>
      <c r="U83" s="311">
        <f t="shared" ca="1" si="31"/>
        <v>0</v>
      </c>
      <c r="V83" s="306">
        <f t="shared" ca="1" si="32"/>
        <v>1.2200120476412049</v>
      </c>
      <c r="W83" s="304">
        <f t="shared" ca="1" si="33"/>
        <v>43.821026697059288</v>
      </c>
      <c r="Y83" s="314" t="str">
        <f t="shared" ca="1" si="51"/>
        <v/>
      </c>
      <c r="Z83" s="315" t="str">
        <f t="shared" ca="1" si="52"/>
        <v/>
      </c>
      <c r="AA83" s="316" t="str">
        <f t="shared" ca="1" si="53"/>
        <v/>
      </c>
      <c r="AC83" s="310" t="e">
        <f t="shared" ca="1" si="54"/>
        <v>#N/A</v>
      </c>
      <c r="AD83" s="323" t="e">
        <f t="shared" ca="1" si="55"/>
        <v>#N/A</v>
      </c>
      <c r="AE83" s="324">
        <f t="shared" ca="1" si="34"/>
        <v>40.8010452431717</v>
      </c>
      <c r="AG83" s="306">
        <f t="shared" ca="1" si="56"/>
        <v>138.36074894257166</v>
      </c>
      <c r="AH83" s="304">
        <f t="shared" ca="1" si="57"/>
        <v>147.99611206444902</v>
      </c>
    </row>
    <row r="84" spans="1:34" x14ac:dyDescent="0.3">
      <c r="A84" s="347">
        <f t="shared" ca="1" si="35"/>
        <v>0.01</v>
      </c>
      <c r="B84" s="304">
        <f t="shared" ca="1" si="36"/>
        <v>0.80000000000000049</v>
      </c>
      <c r="D84" s="306">
        <f t="shared" ca="1" si="37"/>
        <v>27.806961714964295</v>
      </c>
      <c r="E84" s="307">
        <f t="shared" ca="1" si="38"/>
        <v>135.44876392447819</v>
      </c>
      <c r="F84" s="304">
        <f t="shared" ca="1" si="39"/>
        <v>138.27362282259952</v>
      </c>
      <c r="G84" s="306">
        <f t="shared" ca="1" si="40"/>
        <v>20.492620736042582</v>
      </c>
      <c r="H84" s="307">
        <f t="shared" ca="1" si="41"/>
        <v>106.95181031396099</v>
      </c>
      <c r="I84" s="304">
        <f t="shared" ca="1" si="42"/>
        <v>108.8973701889296</v>
      </c>
      <c r="J84" s="306">
        <f t="shared" ca="1" si="43"/>
        <v>7.7703627436180378</v>
      </c>
      <c r="K84" s="307">
        <f t="shared" ca="1" si="44"/>
        <v>41.863790908115085</v>
      </c>
      <c r="L84" s="304">
        <f t="shared" ca="1" si="29"/>
        <v>42.578815464568606</v>
      </c>
      <c r="M84" s="306">
        <f t="shared" ca="1" si="45"/>
        <v>1.3814846847045039</v>
      </c>
      <c r="N84" s="304">
        <f t="shared" ca="1" si="46"/>
        <v>79.153241895529305</v>
      </c>
      <c r="P84" s="310">
        <f t="shared" ca="1" si="47"/>
        <v>7</v>
      </c>
      <c r="Q84" s="304">
        <f t="shared" ca="1" si="48"/>
        <v>1304.4213749999999</v>
      </c>
      <c r="R84" s="306">
        <f t="shared" ca="1" si="49"/>
        <v>0.64103407561212911</v>
      </c>
      <c r="S84" s="307">
        <f t="shared" ca="1" si="50"/>
        <v>8.5235382505800423</v>
      </c>
      <c r="T84" s="304">
        <f t="shared" ca="1" si="30"/>
        <v>83.615910238190224</v>
      </c>
      <c r="U84" s="311">
        <f t="shared" ca="1" si="31"/>
        <v>0</v>
      </c>
      <c r="V84" s="306">
        <f t="shared" ca="1" si="32"/>
        <v>1.2198823977253348</v>
      </c>
      <c r="W84" s="304">
        <f t="shared" ca="1" si="33"/>
        <v>44.950552603487075</v>
      </c>
      <c r="Y84" s="314" t="str">
        <f t="shared" ca="1" si="51"/>
        <v/>
      </c>
      <c r="Z84" s="315" t="str">
        <f t="shared" ca="1" si="52"/>
        <v/>
      </c>
      <c r="AA84" s="316" t="str">
        <f t="shared" ca="1" si="53"/>
        <v/>
      </c>
      <c r="AC84" s="310" t="e">
        <f t="shared" ca="1" si="54"/>
        <v>#N/A</v>
      </c>
      <c r="AD84" s="323" t="e">
        <f t="shared" ca="1" si="55"/>
        <v>#N/A</v>
      </c>
      <c r="AE84" s="324">
        <f t="shared" ca="1" si="34"/>
        <v>41.863790908115085</v>
      </c>
      <c r="AG84" s="306">
        <f t="shared" ca="1" si="56"/>
        <v>138.2613206997805</v>
      </c>
      <c r="AH84" s="304">
        <f t="shared" ca="1" si="57"/>
        <v>147.89636782789756</v>
      </c>
    </row>
    <row r="85" spans="1:34" x14ac:dyDescent="0.3">
      <c r="A85" s="347">
        <f t="shared" ca="1" si="35"/>
        <v>0.01</v>
      </c>
      <c r="B85" s="304">
        <f t="shared" ca="1" si="36"/>
        <v>0.8100000000000005</v>
      </c>
      <c r="D85" s="306">
        <f t="shared" ca="1" si="37"/>
        <v>27.794071278897178</v>
      </c>
      <c r="E85" s="307">
        <f t="shared" ca="1" si="38"/>
        <v>135.2483738196571</v>
      </c>
      <c r="F85" s="304">
        <f t="shared" ca="1" si="39"/>
        <v>138.0747370778526</v>
      </c>
      <c r="G85" s="306">
        <f t="shared" ca="1" si="40"/>
        <v>20.770561448831554</v>
      </c>
      <c r="H85" s="307">
        <f t="shared" ca="1" si="41"/>
        <v>108.30429405215756</v>
      </c>
      <c r="I85" s="304">
        <f t="shared" ca="1" si="42"/>
        <v>110.27799568833258</v>
      </c>
      <c r="J85" s="306">
        <f t="shared" ca="1" si="43"/>
        <v>7.9766786545424084</v>
      </c>
      <c r="K85" s="307">
        <f t="shared" ca="1" si="44"/>
        <v>42.940071429945675</v>
      </c>
      <c r="L85" s="304">
        <f t="shared" ca="1" si="29"/>
        <v>43.674673859877529</v>
      </c>
      <c r="M85" s="306">
        <f t="shared" ca="1" si="45"/>
        <v>1.3813172828534863</v>
      </c>
      <c r="N85" s="304">
        <f t="shared" ca="1" si="46"/>
        <v>79.143650475983321</v>
      </c>
      <c r="P85" s="310">
        <f t="shared" ca="1" si="47"/>
        <v>8</v>
      </c>
      <c r="Q85" s="304">
        <f t="shared" ca="1" si="48"/>
        <v>1302.9069999999999</v>
      </c>
      <c r="R85" s="306">
        <f t="shared" ca="1" si="49"/>
        <v>0.64028986365971829</v>
      </c>
      <c r="S85" s="307">
        <f t="shared" ca="1" si="50"/>
        <v>8.5171353519434447</v>
      </c>
      <c r="T85" s="304">
        <f t="shared" ca="1" si="30"/>
        <v>83.55309780256519</v>
      </c>
      <c r="U85" s="311">
        <f t="shared" ca="1" si="31"/>
        <v>0</v>
      </c>
      <c r="V85" s="306">
        <f t="shared" ca="1" si="32"/>
        <v>1.2197511106340468</v>
      </c>
      <c r="W85" s="304">
        <f t="shared" ca="1" si="33"/>
        <v>46.09260324670516</v>
      </c>
      <c r="Y85" s="314" t="str">
        <f t="shared" ca="1" si="51"/>
        <v/>
      </c>
      <c r="Z85" s="315" t="str">
        <f t="shared" ca="1" si="52"/>
        <v/>
      </c>
      <c r="AA85" s="316" t="str">
        <f t="shared" ca="1" si="53"/>
        <v/>
      </c>
      <c r="AC85" s="310" t="e">
        <f t="shared" ca="1" si="54"/>
        <v>#N/A</v>
      </c>
      <c r="AD85" s="323" t="e">
        <f t="shared" ca="1" si="55"/>
        <v>#N/A</v>
      </c>
      <c r="AE85" s="324">
        <f t="shared" ca="1" si="34"/>
        <v>42.940071429945675</v>
      </c>
      <c r="AG85" s="306">
        <f t="shared" ca="1" si="56"/>
        <v>138.06239542219021</v>
      </c>
      <c r="AH85" s="304">
        <f t="shared" ca="1" si="57"/>
        <v>147.69713001091048</v>
      </c>
    </row>
    <row r="86" spans="1:34" x14ac:dyDescent="0.3">
      <c r="A86" s="347">
        <f t="shared" ca="1" si="35"/>
        <v>0.01</v>
      </c>
      <c r="B86" s="304">
        <f t="shared" ca="1" si="36"/>
        <v>0.82000000000000051</v>
      </c>
      <c r="D86" s="306">
        <f t="shared" ca="1" si="37"/>
        <v>27.762052447850959</v>
      </c>
      <c r="E86" s="307">
        <f t="shared" ca="1" si="38"/>
        <v>134.95014522816922</v>
      </c>
      <c r="F86" s="304">
        <f t="shared" ca="1" si="39"/>
        <v>137.77617084685286</v>
      </c>
      <c r="G86" s="306">
        <f t="shared" ca="1" si="40"/>
        <v>21.048181973310065</v>
      </c>
      <c r="H86" s="307">
        <f t="shared" ca="1" si="41"/>
        <v>109.65379550443924</v>
      </c>
      <c r="I86" s="304">
        <f t="shared" ca="1" si="42"/>
        <v>111.65563502533563</v>
      </c>
      <c r="J86" s="306">
        <f t="shared" ca="1" si="43"/>
        <v>8.1857723716531172</v>
      </c>
      <c r="K86" s="307">
        <f t="shared" ca="1" si="44"/>
        <v>44.029861877728656</v>
      </c>
      <c r="L86" s="304">
        <f t="shared" ca="1" si="29"/>
        <v>44.784323220211583</v>
      </c>
      <c r="M86" s="306">
        <f t="shared" ca="1" si="45"/>
        <v>1.3811518020063804</v>
      </c>
      <c r="N86" s="304">
        <f t="shared" ca="1" si="46"/>
        <v>79.134169121853901</v>
      </c>
      <c r="P86" s="310">
        <f t="shared" ca="1" si="47"/>
        <v>8</v>
      </c>
      <c r="Q86" s="304">
        <f t="shared" ca="1" si="48"/>
        <v>1300.5609999999999</v>
      </c>
      <c r="R86" s="306">
        <f t="shared" ca="1" si="49"/>
        <v>0.63913696478040782</v>
      </c>
      <c r="S86" s="307">
        <f t="shared" ca="1" si="50"/>
        <v>8.5107439822956401</v>
      </c>
      <c r="T86" s="304">
        <f t="shared" ca="1" si="30"/>
        <v>83.490398466320229</v>
      </c>
      <c r="U86" s="311">
        <f t="shared" ca="1" si="31"/>
        <v>0</v>
      </c>
      <c r="V86" s="306">
        <f t="shared" ca="1" si="32"/>
        <v>1.2196181899376632</v>
      </c>
      <c r="W86" s="304">
        <f t="shared" ca="1" si="33"/>
        <v>47.246263896053328</v>
      </c>
      <c r="Y86" s="314" t="str">
        <f t="shared" ca="1" si="51"/>
        <v/>
      </c>
      <c r="Z86" s="315" t="str">
        <f t="shared" ca="1" si="52"/>
        <v/>
      </c>
      <c r="AA86" s="316" t="str">
        <f t="shared" ca="1" si="53"/>
        <v/>
      </c>
      <c r="AC86" s="310" t="e">
        <f t="shared" ca="1" si="54"/>
        <v>#N/A</v>
      </c>
      <c r="AD86" s="323" t="e">
        <f t="shared" ca="1" si="55"/>
        <v>#N/A</v>
      </c>
      <c r="AE86" s="324">
        <f t="shared" ca="1" si="34"/>
        <v>44.029861877728656</v>
      </c>
      <c r="AG86" s="306">
        <f t="shared" ca="1" si="56"/>
        <v>137.76378082190814</v>
      </c>
      <c r="AH86" s="304">
        <f t="shared" ca="1" si="57"/>
        <v>147.39820623941756</v>
      </c>
    </row>
    <row r="87" spans="1:34" x14ac:dyDescent="0.3">
      <c r="A87" s="347">
        <f t="shared" ca="1" si="35"/>
        <v>0.01</v>
      </c>
      <c r="B87" s="304">
        <f t="shared" ca="1" si="36"/>
        <v>0.83000000000000052</v>
      </c>
      <c r="D87" s="306">
        <f t="shared" ca="1" si="37"/>
        <v>27.729277396509705</v>
      </c>
      <c r="E87" s="307">
        <f t="shared" ca="1" si="38"/>
        <v>134.65000690123125</v>
      </c>
      <c r="F87" s="304">
        <f t="shared" ca="1" si="39"/>
        <v>137.47558759079448</v>
      </c>
      <c r="G87" s="306">
        <f t="shared" ca="1" si="40"/>
        <v>21.325474747275162</v>
      </c>
      <c r="H87" s="307">
        <f t="shared" ca="1" si="41"/>
        <v>111.00029557345155</v>
      </c>
      <c r="I87" s="304">
        <f t="shared" ca="1" si="42"/>
        <v>113.03026802848112</v>
      </c>
      <c r="J87" s="306">
        <f t="shared" ca="1" si="43"/>
        <v>8.3976406552560441</v>
      </c>
      <c r="K87" s="307">
        <f t="shared" ca="1" si="44"/>
        <v>45.133132333118112</v>
      </c>
      <c r="L87" s="304">
        <f t="shared" ca="1" si="29"/>
        <v>45.907733583499422</v>
      </c>
      <c r="M87" s="306">
        <f t="shared" ca="1" si="45"/>
        <v>1.3809881926275425</v>
      </c>
      <c r="N87" s="304">
        <f t="shared" ca="1" si="46"/>
        <v>79.124794994957739</v>
      </c>
      <c r="P87" s="310">
        <f t="shared" ca="1" si="47"/>
        <v>8</v>
      </c>
      <c r="Q87" s="304">
        <f t="shared" ca="1" si="48"/>
        <v>1298.2149999999999</v>
      </c>
      <c r="R87" s="306">
        <f t="shared" ca="1" si="49"/>
        <v>0.63798406590109746</v>
      </c>
      <c r="S87" s="307">
        <f t="shared" ca="1" si="50"/>
        <v>8.5043641416366285</v>
      </c>
      <c r="T87" s="304">
        <f t="shared" ca="1" si="30"/>
        <v>83.427812229455327</v>
      </c>
      <c r="U87" s="311">
        <f t="shared" ca="1" si="31"/>
        <v>0</v>
      </c>
      <c r="V87" s="306">
        <f t="shared" ca="1" si="32"/>
        <v>1.2194836398198934</v>
      </c>
      <c r="W87" s="304">
        <f t="shared" ca="1" si="33"/>
        <v>48.411415353590471</v>
      </c>
      <c r="Y87" s="314" t="str">
        <f t="shared" ca="1" si="51"/>
        <v/>
      </c>
      <c r="Z87" s="315" t="str">
        <f t="shared" ca="1" si="52"/>
        <v/>
      </c>
      <c r="AA87" s="316" t="str">
        <f t="shared" ca="1" si="53"/>
        <v/>
      </c>
      <c r="AC87" s="310" t="e">
        <f t="shared" ca="1" si="54"/>
        <v>#N/A</v>
      </c>
      <c r="AD87" s="323" t="e">
        <f t="shared" ca="1" si="55"/>
        <v>#N/A</v>
      </c>
      <c r="AE87" s="324">
        <f t="shared" ca="1" si="34"/>
        <v>45.133132333118112</v>
      </c>
      <c r="AG87" s="306">
        <f t="shared" ca="1" si="56"/>
        <v>137.46314903467578</v>
      </c>
      <c r="AH87" s="304">
        <f t="shared" ca="1" si="57"/>
        <v>147.09726856347933</v>
      </c>
    </row>
    <row r="88" spans="1:34" x14ac:dyDescent="0.3">
      <c r="A88" s="347">
        <f t="shared" ca="1" si="35"/>
        <v>0.01</v>
      </c>
      <c r="B88" s="304">
        <f t="shared" ca="1" si="36"/>
        <v>0.84000000000000052</v>
      </c>
      <c r="D88" s="306">
        <f t="shared" ca="1" si="37"/>
        <v>27.695756039376906</v>
      </c>
      <c r="E88" s="307">
        <f t="shared" ca="1" si="38"/>
        <v>134.34796801399938</v>
      </c>
      <c r="F88" s="304">
        <f t="shared" ca="1" si="39"/>
        <v>137.17299811582191</v>
      </c>
      <c r="G88" s="306">
        <f t="shared" ca="1" si="40"/>
        <v>21.602432307668931</v>
      </c>
      <c r="H88" s="307">
        <f t="shared" ca="1" si="41"/>
        <v>112.34377525359155</v>
      </c>
      <c r="I88" s="304">
        <f t="shared" ca="1" si="42"/>
        <v>114.40187463427733</v>
      </c>
      <c r="J88" s="306">
        <f t="shared" ca="1" si="43"/>
        <v>8.6122801905307647</v>
      </c>
      <c r="K88" s="307">
        <f t="shared" ca="1" si="44"/>
        <v>46.24985268725333</v>
      </c>
      <c r="L88" s="304">
        <f t="shared" ca="1" si="29"/>
        <v>47.04487478645089</v>
      </c>
      <c r="M88" s="306">
        <f t="shared" ca="1" si="45"/>
        <v>1.3808264070442642</v>
      </c>
      <c r="N88" s="304">
        <f t="shared" ca="1" si="46"/>
        <v>79.115525363849827</v>
      </c>
      <c r="P88" s="310">
        <f t="shared" ca="1" si="47"/>
        <v>8</v>
      </c>
      <c r="Q88" s="304">
        <f t="shared" ca="1" si="48"/>
        <v>1295.8689999999997</v>
      </c>
      <c r="R88" s="306">
        <f t="shared" ca="1" si="49"/>
        <v>0.63683116702178688</v>
      </c>
      <c r="S88" s="307">
        <f t="shared" ca="1" si="50"/>
        <v>8.4979958299664098</v>
      </c>
      <c r="T88" s="304">
        <f t="shared" ca="1" si="30"/>
        <v>83.365339091970483</v>
      </c>
      <c r="U88" s="311">
        <f t="shared" ca="1" si="31"/>
        <v>0</v>
      </c>
      <c r="V88" s="306">
        <f t="shared" ca="1" si="32"/>
        <v>1.2193474644925379</v>
      </c>
      <c r="W88" s="304">
        <f t="shared" ca="1" si="33"/>
        <v>49.587937850112311</v>
      </c>
      <c r="Y88" s="314" t="str">
        <f t="shared" ca="1" si="51"/>
        <v/>
      </c>
      <c r="Z88" s="315" t="str">
        <f t="shared" ca="1" si="52"/>
        <v/>
      </c>
      <c r="AA88" s="316" t="str">
        <f t="shared" ca="1" si="53"/>
        <v/>
      </c>
      <c r="AC88" s="310" t="e">
        <f t="shared" ca="1" si="54"/>
        <v>#N/A</v>
      </c>
      <c r="AD88" s="323" t="e">
        <f t="shared" ca="1" si="55"/>
        <v>#N/A</v>
      </c>
      <c r="AE88" s="324">
        <f t="shared" ca="1" si="34"/>
        <v>46.24985268725333</v>
      </c>
      <c r="AG88" s="306">
        <f t="shared" ca="1" si="56"/>
        <v>137.16051085860016</v>
      </c>
      <c r="AH88" s="304">
        <f t="shared" ca="1" si="57"/>
        <v>146.79432769871576</v>
      </c>
    </row>
    <row r="89" spans="1:34" x14ac:dyDescent="0.3">
      <c r="A89" s="347">
        <f t="shared" ca="1" si="35"/>
        <v>0.01</v>
      </c>
      <c r="B89" s="304">
        <f t="shared" ca="1" si="36"/>
        <v>0.85000000000000053</v>
      </c>
      <c r="D89" s="306">
        <f t="shared" ca="1" si="37"/>
        <v>27.661498013793128</v>
      </c>
      <c r="E89" s="307">
        <f t="shared" ca="1" si="38"/>
        <v>134.04403790553891</v>
      </c>
      <c r="F89" s="304">
        <f t="shared" ca="1" si="39"/>
        <v>136.86841334065591</v>
      </c>
      <c r="G89" s="306">
        <f t="shared" ca="1" si="40"/>
        <v>21.879047287806863</v>
      </c>
      <c r="H89" s="307">
        <f t="shared" ca="1" si="41"/>
        <v>113.68421563264694</v>
      </c>
      <c r="I89" s="304">
        <f t="shared" ca="1" si="42"/>
        <v>115.77043488832653</v>
      </c>
      <c r="J89" s="306">
        <f t="shared" ca="1" si="43"/>
        <v>8.8296875885081434</v>
      </c>
      <c r="K89" s="307">
        <f t="shared" ca="1" si="44"/>
        <v>47.379992641684524</v>
      </c>
      <c r="L89" s="304">
        <f t="shared" ca="1" si="29"/>
        <v>48.195716465643855</v>
      </c>
      <c r="M89" s="306">
        <f t="shared" ca="1" si="45"/>
        <v>1.3806663993539028</v>
      </c>
      <c r="N89" s="304">
        <f t="shared" ca="1" si="46"/>
        <v>79.106357598502484</v>
      </c>
      <c r="P89" s="310">
        <f t="shared" ca="1" si="47"/>
        <v>8</v>
      </c>
      <c r="Q89" s="304">
        <f t="shared" ca="1" si="48"/>
        <v>1293.5229999999997</v>
      </c>
      <c r="R89" s="306">
        <f t="shared" ca="1" si="49"/>
        <v>0.63567826814247652</v>
      </c>
      <c r="S89" s="307">
        <f t="shared" ca="1" si="50"/>
        <v>8.4916390472849859</v>
      </c>
      <c r="T89" s="304">
        <f t="shared" ca="1" si="30"/>
        <v>83.302979053865712</v>
      </c>
      <c r="U89" s="311">
        <f t="shared" ca="1" si="31"/>
        <v>0</v>
      </c>
      <c r="V89" s="306">
        <f t="shared" ca="1" si="32"/>
        <v>1.2192096681953088</v>
      </c>
      <c r="W89" s="304">
        <f t="shared" ca="1" si="33"/>
        <v>50.77571105866717</v>
      </c>
      <c r="Y89" s="314" t="str">
        <f t="shared" ca="1" si="51"/>
        <v/>
      </c>
      <c r="Z89" s="315" t="str">
        <f t="shared" ca="1" si="52"/>
        <v/>
      </c>
      <c r="AA89" s="316" t="str">
        <f t="shared" ca="1" si="53"/>
        <v/>
      </c>
      <c r="AC89" s="310" t="e">
        <f t="shared" ca="1" si="54"/>
        <v>#N/A</v>
      </c>
      <c r="AD89" s="323" t="e">
        <f t="shared" ca="1" si="55"/>
        <v>#N/A</v>
      </c>
      <c r="AE89" s="324">
        <f t="shared" ca="1" si="34"/>
        <v>47.379992641684524</v>
      </c>
      <c r="AG89" s="306">
        <f t="shared" ca="1" si="56"/>
        <v>136.85587720451917</v>
      </c>
      <c r="AH89" s="304">
        <f t="shared" ca="1" si="57"/>
        <v>146.48939447651256</v>
      </c>
    </row>
    <row r="90" spans="1:34" x14ac:dyDescent="0.3">
      <c r="A90" s="347">
        <f t="shared" ca="1" si="35"/>
        <v>0.01</v>
      </c>
      <c r="B90" s="304">
        <f t="shared" ca="1" si="36"/>
        <v>0.86000000000000054</v>
      </c>
      <c r="D90" s="306">
        <f t="shared" ca="1" si="37"/>
        <v>27.626512694823973</v>
      </c>
      <c r="E90" s="307">
        <f t="shared" ca="1" si="38"/>
        <v>133.73822607503243</v>
      </c>
      <c r="F90" s="304">
        <f t="shared" ca="1" si="39"/>
        <v>136.56184429544643</v>
      </c>
      <c r="G90" s="306">
        <f t="shared" ca="1" si="40"/>
        <v>22.155312414755102</v>
      </c>
      <c r="H90" s="307">
        <f t="shared" ca="1" si="41"/>
        <v>115.02159789339726</v>
      </c>
      <c r="I90" s="304">
        <f t="shared" ca="1" si="42"/>
        <v>117.13592894644141</v>
      </c>
      <c r="J90" s="306">
        <f t="shared" ca="1" si="43"/>
        <v>9.0498593870209536</v>
      </c>
      <c r="K90" s="307">
        <f t="shared" ca="1" si="44"/>
        <v>48.523521709314743</v>
      </c>
      <c r="L90" s="304">
        <f t="shared" ca="1" si="29"/>
        <v>49.360228058622162</v>
      </c>
      <c r="M90" s="306">
        <f t="shared" ca="1" si="45"/>
        <v>1.3805081253367417</v>
      </c>
      <c r="N90" s="304">
        <f t="shared" ca="1" si="46"/>
        <v>79.097289165312574</v>
      </c>
      <c r="P90" s="310">
        <f t="shared" ca="1" si="47"/>
        <v>8</v>
      </c>
      <c r="Q90" s="304">
        <f t="shared" ca="1" si="48"/>
        <v>1291.1769999999997</v>
      </c>
      <c r="R90" s="306">
        <f t="shared" ca="1" si="49"/>
        <v>0.63452536926316605</v>
      </c>
      <c r="S90" s="307">
        <f t="shared" ca="1" si="50"/>
        <v>8.4852937935923549</v>
      </c>
      <c r="T90" s="304">
        <f t="shared" ca="1" si="30"/>
        <v>83.240732115141</v>
      </c>
      <c r="U90" s="311">
        <f t="shared" ca="1" si="31"/>
        <v>0</v>
      </c>
      <c r="V90" s="306">
        <f t="shared" ca="1" si="32"/>
        <v>1.2190702551956465</v>
      </c>
      <c r="W90" s="304">
        <f t="shared" ca="1" si="33"/>
        <v>51.974614108122957</v>
      </c>
      <c r="Y90" s="314" t="str">
        <f t="shared" ca="1" si="51"/>
        <v/>
      </c>
      <c r="Z90" s="315" t="str">
        <f t="shared" ca="1" si="52"/>
        <v/>
      </c>
      <c r="AA90" s="316" t="str">
        <f t="shared" ca="1" si="53"/>
        <v/>
      </c>
      <c r="AC90" s="310" t="e">
        <f t="shared" ca="1" si="54"/>
        <v>#N/A</v>
      </c>
      <c r="AD90" s="323" t="e">
        <f t="shared" ca="1" si="55"/>
        <v>#N/A</v>
      </c>
      <c r="AE90" s="324">
        <f t="shared" ca="1" si="34"/>
        <v>48.523521709314743</v>
      </c>
      <c r="AG90" s="306">
        <f t="shared" ca="1" si="56"/>
        <v>136.54925909484447</v>
      </c>
      <c r="AH90" s="304">
        <f t="shared" ca="1" si="57"/>
        <v>146.1824798427154</v>
      </c>
    </row>
    <row r="91" spans="1:34" x14ac:dyDescent="0.3">
      <c r="A91" s="347">
        <f t="shared" ca="1" si="35"/>
        <v>0.01</v>
      </c>
      <c r="B91" s="304">
        <f t="shared" ca="1" si="36"/>
        <v>0.87000000000000055</v>
      </c>
      <c r="D91" s="306">
        <f t="shared" ca="1" si="37"/>
        <v>27.590809209211073</v>
      </c>
      <c r="E91" s="307">
        <f t="shared" ca="1" si="38"/>
        <v>133.43054217812738</v>
      </c>
      <c r="F91" s="304">
        <f t="shared" ca="1" si="39"/>
        <v>136.25330212060226</v>
      </c>
      <c r="G91" s="306">
        <f t="shared" ca="1" si="40"/>
        <v>22.431220506847211</v>
      </c>
      <c r="H91" s="307">
        <f t="shared" ca="1" si="41"/>
        <v>116.35590331517854</v>
      </c>
      <c r="I91" s="304">
        <f t="shared" ca="1" si="42"/>
        <v>118.49833707574963</v>
      </c>
      <c r="J91" s="306">
        <f t="shared" ca="1" si="43"/>
        <v>9.272792051628965</v>
      </c>
      <c r="K91" s="307">
        <f t="shared" ca="1" si="44"/>
        <v>49.680409215357621</v>
      </c>
      <c r="L91" s="304">
        <f t="shared" ca="1" si="29"/>
        <v>50.538378805004655</v>
      </c>
      <c r="M91" s="306">
        <f t="shared" ca="1" si="45"/>
        <v>1.3803515423741641</v>
      </c>
      <c r="N91" s="304">
        <f t="shared" ca="1" si="46"/>
        <v>79.088317622413214</v>
      </c>
      <c r="P91" s="310">
        <f t="shared" ca="1" si="47"/>
        <v>8</v>
      </c>
      <c r="Q91" s="304">
        <f t="shared" ca="1" si="48"/>
        <v>1288.8309999999997</v>
      </c>
      <c r="R91" s="306">
        <f t="shared" ca="1" si="49"/>
        <v>0.63337247038385569</v>
      </c>
      <c r="S91" s="307">
        <f t="shared" ca="1" si="50"/>
        <v>8.4789600688885169</v>
      </c>
      <c r="T91" s="304">
        <f t="shared" ca="1" si="30"/>
        <v>83.178598275796361</v>
      </c>
      <c r="U91" s="311">
        <f t="shared" ca="1" si="31"/>
        <v>0</v>
      </c>
      <c r="V91" s="306">
        <f t="shared" ca="1" si="32"/>
        <v>1.2189292297885368</v>
      </c>
      <c r="W91" s="304">
        <f t="shared" ca="1" si="33"/>
        <v>53.184525596782564</v>
      </c>
      <c r="Y91" s="314" t="str">
        <f t="shared" ca="1" si="51"/>
        <v/>
      </c>
      <c r="Z91" s="315" t="str">
        <f t="shared" ca="1" si="52"/>
        <v/>
      </c>
      <c r="AA91" s="316" t="str">
        <f t="shared" ca="1" si="53"/>
        <v/>
      </c>
      <c r="AC91" s="310" t="e">
        <f t="shared" ca="1" si="54"/>
        <v>#N/A</v>
      </c>
      <c r="AD91" s="323" t="e">
        <f t="shared" ca="1" si="55"/>
        <v>#N/A</v>
      </c>
      <c r="AE91" s="324">
        <f t="shared" ca="1" si="34"/>
        <v>49.680409215357621</v>
      </c>
      <c r="AG91" s="306">
        <f t="shared" ca="1" si="56"/>
        <v>136.24066766238207</v>
      </c>
      <c r="AH91" s="304">
        <f t="shared" ca="1" si="57"/>
        <v>145.87359485631035</v>
      </c>
    </row>
    <row r="92" spans="1:34" x14ac:dyDescent="0.3">
      <c r="A92" s="347">
        <f t="shared" ca="1" si="35"/>
        <v>0.01</v>
      </c>
      <c r="B92" s="304">
        <f t="shared" ca="1" si="36"/>
        <v>0.88000000000000056</v>
      </c>
      <c r="D92" s="306">
        <f t="shared" ca="1" si="37"/>
        <v>27.554396448454217</v>
      </c>
      <c r="E92" s="307">
        <f t="shared" ca="1" si="38"/>
        <v>133.12099602341118</v>
      </c>
      <c r="F92" s="304">
        <f t="shared" ca="1" si="39"/>
        <v>135.94279806559686</v>
      </c>
      <c r="G92" s="306">
        <f t="shared" ca="1" si="40"/>
        <v>22.706764471331752</v>
      </c>
      <c r="H92" s="307">
        <f t="shared" ca="1" si="41"/>
        <v>117.68711327541264</v>
      </c>
      <c r="I92" s="304">
        <f t="shared" ca="1" si="42"/>
        <v>119.8576396557864</v>
      </c>
      <c r="J92" s="306">
        <f t="shared" ca="1" si="43"/>
        <v>9.4984819765198605</v>
      </c>
      <c r="K92" s="307">
        <f t="shared" ca="1" si="44"/>
        <v>50.850624298310578</v>
      </c>
      <c r="L92" s="304">
        <f t="shared" ca="1" si="29"/>
        <v>51.730137747605184</v>
      </c>
      <c r="M92" s="306">
        <f t="shared" ca="1" si="45"/>
        <v>1.3801966093717546</v>
      </c>
      <c r="N92" s="304">
        <f t="shared" ca="1" si="46"/>
        <v>79.079440615267856</v>
      </c>
      <c r="P92" s="310">
        <f t="shared" ca="1" si="47"/>
        <v>8</v>
      </c>
      <c r="Q92" s="304">
        <f t="shared" ca="1" si="48"/>
        <v>1286.4849999999997</v>
      </c>
      <c r="R92" s="306">
        <f t="shared" ca="1" si="49"/>
        <v>0.63221957150454522</v>
      </c>
      <c r="S92" s="307">
        <f t="shared" ca="1" si="50"/>
        <v>8.4726378731734719</v>
      </c>
      <c r="T92" s="304">
        <f t="shared" ca="1" si="30"/>
        <v>83.116577535831766</v>
      </c>
      <c r="U92" s="311">
        <f t="shared" ca="1" si="31"/>
        <v>0</v>
      </c>
      <c r="V92" s="306">
        <f t="shared" ca="1" si="32"/>
        <v>1.2187865962963247</v>
      </c>
      <c r="W92" s="304">
        <f t="shared" ca="1" si="33"/>
        <v>54.405323606045208</v>
      </c>
      <c r="Y92" s="314" t="str">
        <f t="shared" ca="1" si="51"/>
        <v/>
      </c>
      <c r="Z92" s="315" t="str">
        <f t="shared" ca="1" si="52"/>
        <v/>
      </c>
      <c r="AA92" s="316" t="str">
        <f t="shared" ca="1" si="53"/>
        <v/>
      </c>
      <c r="AC92" s="310" t="e">
        <f t="shared" ca="1" si="54"/>
        <v>#N/A</v>
      </c>
      <c r="AD92" s="323" t="e">
        <f t="shared" ca="1" si="55"/>
        <v>#N/A</v>
      </c>
      <c r="AE92" s="324">
        <f t="shared" ca="1" si="34"/>
        <v>50.850624298310578</v>
      </c>
      <c r="AG92" s="306">
        <f t="shared" ca="1" si="56"/>
        <v>135.93011414912942</v>
      </c>
      <c r="AH92" s="304">
        <f t="shared" ca="1" si="57"/>
        <v>145.56275068808975</v>
      </c>
    </row>
    <row r="93" spans="1:34" x14ac:dyDescent="0.3">
      <c r="A93" s="347">
        <f t="shared" ca="1" si="35"/>
        <v>0.01</v>
      </c>
      <c r="B93" s="304">
        <f t="shared" ca="1" si="36"/>
        <v>0.89000000000000057</v>
      </c>
      <c r="D93" s="306">
        <f t="shared" ca="1" si="37"/>
        <v>27.51728308108741</v>
      </c>
      <c r="E93" s="307">
        <f t="shared" ca="1" si="38"/>
        <v>132.8095975690056</v>
      </c>
      <c r="F93" s="304">
        <f t="shared" ca="1" si="39"/>
        <v>135.63034348775321</v>
      </c>
      <c r="G93" s="306">
        <f t="shared" ca="1" si="40"/>
        <v>22.981937302142626</v>
      </c>
      <c r="H93" s="307">
        <f t="shared" ca="1" si="41"/>
        <v>119.0152092511027</v>
      </c>
      <c r="I93" s="304">
        <f t="shared" ca="1" si="42"/>
        <v>121.21381717957478</v>
      </c>
      <c r="J93" s="306">
        <f t="shared" ca="1" si="43"/>
        <v>9.7269254853872322</v>
      </c>
      <c r="K93" s="307">
        <f t="shared" ca="1" si="44"/>
        <v>52.034135910943156</v>
      </c>
      <c r="L93" s="304">
        <f t="shared" ca="1" si="29"/>
        <v>52.935473733563391</v>
      </c>
      <c r="M93" s="306">
        <f t="shared" ca="1" si="45"/>
        <v>1.3800432866869767</v>
      </c>
      <c r="N93" s="304">
        <f t="shared" ca="1" si="46"/>
        <v>79.070655872526473</v>
      </c>
      <c r="P93" s="310">
        <f t="shared" ca="1" si="47"/>
        <v>8</v>
      </c>
      <c r="Q93" s="304">
        <f t="shared" ca="1" si="48"/>
        <v>1284.1389999999997</v>
      </c>
      <c r="R93" s="306">
        <f t="shared" ca="1" si="49"/>
        <v>0.63106667262523486</v>
      </c>
      <c r="S93" s="307">
        <f t="shared" ca="1" si="50"/>
        <v>8.4663272064472199</v>
      </c>
      <c r="T93" s="304">
        <f t="shared" ca="1" si="30"/>
        <v>83.05466989524723</v>
      </c>
      <c r="U93" s="311">
        <f t="shared" ca="1" si="31"/>
        <v>0</v>
      </c>
      <c r="V93" s="306">
        <f t="shared" ca="1" si="32"/>
        <v>1.2186423590685245</v>
      </c>
      <c r="W93" s="304">
        <f t="shared" ca="1" si="33"/>
        <v>55.636885714110562</v>
      </c>
      <c r="Y93" s="314" t="str">
        <f t="shared" ca="1" si="51"/>
        <v/>
      </c>
      <c r="Z93" s="315" t="str">
        <f t="shared" ca="1" si="52"/>
        <v/>
      </c>
      <c r="AA93" s="316" t="str">
        <f t="shared" ca="1" si="53"/>
        <v/>
      </c>
      <c r="AC93" s="310" t="e">
        <f t="shared" ca="1" si="54"/>
        <v>#N/A</v>
      </c>
      <c r="AD93" s="323" t="e">
        <f t="shared" ca="1" si="55"/>
        <v>#N/A</v>
      </c>
      <c r="AE93" s="324">
        <f t="shared" ca="1" si="34"/>
        <v>52.034135910943156</v>
      </c>
      <c r="AG93" s="306">
        <f t="shared" ca="1" si="56"/>
        <v>135.61760990505212</v>
      </c>
      <c r="AH93" s="304">
        <f t="shared" ca="1" si="57"/>
        <v>145.24995861930498</v>
      </c>
    </row>
    <row r="94" spans="1:34" x14ac:dyDescent="0.3">
      <c r="A94" s="347">
        <f t="shared" ca="1" si="35"/>
        <v>0.01</v>
      </c>
      <c r="B94" s="304">
        <f t="shared" ca="1" si="36"/>
        <v>0.90000000000000058</v>
      </c>
      <c r="D94" s="306">
        <f t="shared" ca="1" si="37"/>
        <v>27.479477564206178</v>
      </c>
      <c r="E94" s="307">
        <f t="shared" ca="1" si="38"/>
        <v>132.49635691926946</v>
      </c>
      <c r="F94" s="304">
        <f t="shared" ca="1" si="39"/>
        <v>135.31594985100668</v>
      </c>
      <c r="G94" s="306">
        <f t="shared" ca="1" si="40"/>
        <v>23.256732077784687</v>
      </c>
      <c r="H94" s="307">
        <f t="shared" ca="1" si="41"/>
        <v>120.34017282029539</v>
      </c>
      <c r="I94" s="304">
        <f t="shared" ca="1" si="42"/>
        <v>122.56685025469334</v>
      </c>
      <c r="J94" s="306">
        <f t="shared" ca="1" si="43"/>
        <v>9.9581188322868694</v>
      </c>
      <c r="K94" s="307">
        <f t="shared" ca="1" si="44"/>
        <v>53.230912821300144</v>
      </c>
      <c r="L94" s="304">
        <f t="shared" ca="1" si="29"/>
        <v>54.154355415486229</v>
      </c>
      <c r="M94" s="306">
        <f t="shared" ca="1" si="45"/>
        <v>1.3798915360610999</v>
      </c>
      <c r="N94" s="304">
        <f t="shared" ca="1" si="46"/>
        <v>79.061961202125261</v>
      </c>
      <c r="P94" s="310">
        <f t="shared" ca="1" si="47"/>
        <v>8</v>
      </c>
      <c r="Q94" s="304">
        <f t="shared" ca="1" si="48"/>
        <v>1281.7929999999997</v>
      </c>
      <c r="R94" s="306">
        <f t="shared" ca="1" si="49"/>
        <v>0.62991377374592439</v>
      </c>
      <c r="S94" s="307">
        <f t="shared" ca="1" si="50"/>
        <v>8.4600280687097609</v>
      </c>
      <c r="T94" s="304">
        <f t="shared" ca="1" si="30"/>
        <v>82.992875354042752</v>
      </c>
      <c r="U94" s="311">
        <f t="shared" ca="1" si="31"/>
        <v>0</v>
      </c>
      <c r="V94" s="306">
        <f t="shared" ca="1" si="32"/>
        <v>1.2184965224816313</v>
      </c>
      <c r="W94" s="304">
        <f t="shared" ca="1" si="33"/>
        <v>56.879089009723337</v>
      </c>
      <c r="Y94" s="314" t="str">
        <f t="shared" ca="1" si="51"/>
        <v/>
      </c>
      <c r="Z94" s="315" t="str">
        <f t="shared" ca="1" si="52"/>
        <v/>
      </c>
      <c r="AA94" s="316" t="str">
        <f t="shared" ca="1" si="53"/>
        <v/>
      </c>
      <c r="AC94" s="310" t="e">
        <f t="shared" ca="1" si="54"/>
        <v>#N/A</v>
      </c>
      <c r="AD94" s="323" t="e">
        <f t="shared" ca="1" si="55"/>
        <v>#N/A</v>
      </c>
      <c r="AE94" s="324">
        <f t="shared" ca="1" si="34"/>
        <v>53.230912821300144</v>
      </c>
      <c r="AG94" s="306">
        <f t="shared" ca="1" si="56"/>
        <v>135.3031663868388</v>
      </c>
      <c r="AH94" s="304">
        <f t="shared" ca="1" si="57"/>
        <v>144.93523004030533</v>
      </c>
    </row>
    <row r="95" spans="1:34" x14ac:dyDescent="0.3">
      <c r="A95" s="347">
        <f t="shared" ca="1" si="35"/>
        <v>0.01</v>
      </c>
      <c r="B95" s="304">
        <f t="shared" ca="1" si="36"/>
        <v>0.91000000000000059</v>
      </c>
      <c r="D95" s="306">
        <f t="shared" ca="1" si="37"/>
        <v>27.432789773809706</v>
      </c>
      <c r="E95" s="307">
        <f t="shared" ca="1" si="38"/>
        <v>132.13886243181733</v>
      </c>
      <c r="F95" s="304">
        <f t="shared" ca="1" si="39"/>
        <v>134.95642600316884</v>
      </c>
      <c r="G95" s="306">
        <f t="shared" ca="1" si="40"/>
        <v>23.531059975522783</v>
      </c>
      <c r="H95" s="307">
        <f t="shared" ca="1" si="41"/>
        <v>121.66156144461357</v>
      </c>
      <c r="I95" s="304">
        <f t="shared" ca="1" si="42"/>
        <v>123.91628753603432</v>
      </c>
      <c r="J95" s="306">
        <f t="shared" ca="1" si="43"/>
        <v>10.192057792553406</v>
      </c>
      <c r="K95" s="307">
        <f t="shared" ca="1" si="44"/>
        <v>54.440921492624689</v>
      </c>
      <c r="L95" s="304">
        <f t="shared" ca="1" si="29"/>
        <v>55.386749092295297</v>
      </c>
      <c r="M95" s="306">
        <f t="shared" ca="1" si="45"/>
        <v>1.3797413200313164</v>
      </c>
      <c r="N95" s="304">
        <f t="shared" ca="1" si="46"/>
        <v>79.053354457603461</v>
      </c>
      <c r="P95" s="310">
        <f t="shared" ca="1" si="47"/>
        <v>9</v>
      </c>
      <c r="Q95" s="304">
        <f t="shared" ca="1" si="48"/>
        <v>1279.0819999999997</v>
      </c>
      <c r="R95" s="306">
        <f t="shared" ca="1" si="49"/>
        <v>0.62858150227882692</v>
      </c>
      <c r="S95" s="307">
        <f t="shared" ca="1" si="50"/>
        <v>8.453742253686972</v>
      </c>
      <c r="T95" s="304">
        <f t="shared" ca="1" si="30"/>
        <v>82.931211508669193</v>
      </c>
      <c r="U95" s="311">
        <f t="shared" ca="1" si="31"/>
        <v>0</v>
      </c>
      <c r="V95" s="306">
        <f t="shared" ca="1" si="32"/>
        <v>1.2183490911973527</v>
      </c>
      <c r="W95" s="304">
        <f t="shared" ca="1" si="33"/>
        <v>58.131404735242967</v>
      </c>
      <c r="Y95" s="314" t="str">
        <f t="shared" ca="1" si="51"/>
        <v/>
      </c>
      <c r="Z95" s="315" t="str">
        <f t="shared" ca="1" si="52"/>
        <v/>
      </c>
      <c r="AA95" s="316" t="str">
        <f t="shared" ca="1" si="53"/>
        <v/>
      </c>
      <c r="AC95" s="310" t="e">
        <f t="shared" ca="1" si="54"/>
        <v>#N/A</v>
      </c>
      <c r="AD95" s="323" t="e">
        <f t="shared" ca="1" si="55"/>
        <v>#N/A</v>
      </c>
      <c r="AE95" s="324">
        <f t="shared" ca="1" si="34"/>
        <v>54.440921492624689</v>
      </c>
      <c r="AG95" s="306">
        <f t="shared" ca="1" si="56"/>
        <v>134.9435883264405</v>
      </c>
      <c r="AH95" s="304">
        <f t="shared" ca="1" si="57"/>
        <v>144.57536961896739</v>
      </c>
    </row>
    <row r="96" spans="1:34" x14ac:dyDescent="0.3">
      <c r="A96" s="347">
        <f t="shared" ca="1" si="35"/>
        <v>0.01</v>
      </c>
      <c r="B96" s="304">
        <f t="shared" ca="1" si="36"/>
        <v>0.9200000000000006</v>
      </c>
      <c r="D96" s="306">
        <f t="shared" ca="1" si="37"/>
        <v>27.377193794120203</v>
      </c>
      <c r="E96" s="307">
        <f t="shared" ca="1" si="38"/>
        <v>131.73705093731965</v>
      </c>
      <c r="F96" s="304">
        <f t="shared" ca="1" si="39"/>
        <v>134.55170504197545</v>
      </c>
      <c r="G96" s="306">
        <f t="shared" ca="1" si="40"/>
        <v>23.804831913463985</v>
      </c>
      <c r="H96" s="307">
        <f t="shared" ca="1" si="41"/>
        <v>122.97893195398676</v>
      </c>
      <c r="I96" s="304">
        <f t="shared" ca="1" si="42"/>
        <v>125.2616770084593</v>
      </c>
      <c r="J96" s="306">
        <f t="shared" ca="1" si="43"/>
        <v>10.42873725199834</v>
      </c>
      <c r="K96" s="307">
        <f t="shared" ca="1" si="44"/>
        <v>55.66412395961769</v>
      </c>
      <c r="L96" s="304">
        <f t="shared" ca="1" si="29"/>
        <v>56.632616546146814</v>
      </c>
      <c r="M96" s="306">
        <f t="shared" ca="1" si="45"/>
        <v>1.3795926019121589</v>
      </c>
      <c r="N96" s="304">
        <f t="shared" ca="1" si="46"/>
        <v>79.044833537038613</v>
      </c>
      <c r="P96" s="310">
        <f t="shared" ca="1" si="47"/>
        <v>9</v>
      </c>
      <c r="Q96" s="304">
        <f t="shared" ca="1" si="48"/>
        <v>1276.0059999999996</v>
      </c>
      <c r="R96" s="306">
        <f t="shared" ca="1" si="49"/>
        <v>0.62706985822394257</v>
      </c>
      <c r="S96" s="307">
        <f t="shared" ca="1" si="50"/>
        <v>8.4474715551047321</v>
      </c>
      <c r="T96" s="304">
        <f t="shared" ca="1" si="30"/>
        <v>82.869695955577427</v>
      </c>
      <c r="U96" s="311">
        <f t="shared" ca="1" si="31"/>
        <v>0</v>
      </c>
      <c r="V96" s="306">
        <f t="shared" ca="1" si="32"/>
        <v>1.2182000704210967</v>
      </c>
      <c r="W96" s="304">
        <f t="shared" ca="1" si="33"/>
        <v>59.393285538102717</v>
      </c>
      <c r="Y96" s="314" t="str">
        <f t="shared" ca="1" si="51"/>
        <v/>
      </c>
      <c r="Z96" s="315" t="str">
        <f t="shared" ca="1" si="52"/>
        <v/>
      </c>
      <c r="AA96" s="316" t="str">
        <f t="shared" ca="1" si="53"/>
        <v/>
      </c>
      <c r="AC96" s="310" t="e">
        <f t="shared" ca="1" si="54"/>
        <v>#N/A</v>
      </c>
      <c r="AD96" s="323" t="e">
        <f t="shared" ca="1" si="55"/>
        <v>#N/A</v>
      </c>
      <c r="AE96" s="324">
        <f t="shared" ca="1" si="34"/>
        <v>55.66412395961769</v>
      </c>
      <c r="AG96" s="306">
        <f t="shared" ca="1" si="56"/>
        <v>134.53880872137847</v>
      </c>
      <c r="AH96" s="304">
        <f t="shared" ca="1" si="57"/>
        <v>144.17031028992406</v>
      </c>
    </row>
    <row r="97" spans="1:34" x14ac:dyDescent="0.3">
      <c r="A97" s="347">
        <f t="shared" ca="1" si="35"/>
        <v>0.01</v>
      </c>
      <c r="B97" s="304">
        <f t="shared" ca="1" si="36"/>
        <v>0.9300000000000006</v>
      </c>
      <c r="D97" s="306">
        <f t="shared" ca="1" si="37"/>
        <v>27.320887657165656</v>
      </c>
      <c r="E97" s="307">
        <f t="shared" ca="1" si="38"/>
        <v>131.33334418856955</v>
      </c>
      <c r="F97" s="304">
        <f t="shared" ca="1" si="39"/>
        <v>134.14498946337409</v>
      </c>
      <c r="G97" s="306">
        <f t="shared" ca="1" si="40"/>
        <v>24.078040790035644</v>
      </c>
      <c r="H97" s="307">
        <f t="shared" ca="1" si="41"/>
        <v>124.29226539587245</v>
      </c>
      <c r="I97" s="304">
        <f t="shared" ca="1" si="42"/>
        <v>126.60299872248135</v>
      </c>
      <c r="J97" s="306">
        <f t="shared" ca="1" si="43"/>
        <v>10.668151615515839</v>
      </c>
      <c r="K97" s="307">
        <f t="shared" ca="1" si="44"/>
        <v>56.900479946366985</v>
      </c>
      <c r="L97" s="304">
        <f t="shared" ca="1" si="29"/>
        <v>57.891917199368557</v>
      </c>
      <c r="M97" s="306">
        <f t="shared" ca="1" si="45"/>
        <v>1.3794453462801757</v>
      </c>
      <c r="N97" s="304">
        <f t="shared" ca="1" si="46"/>
        <v>79.036396410816437</v>
      </c>
      <c r="P97" s="310">
        <f t="shared" ca="1" si="47"/>
        <v>9</v>
      </c>
      <c r="Q97" s="304">
        <f t="shared" ca="1" si="48"/>
        <v>1272.9299999999996</v>
      </c>
      <c r="R97" s="306">
        <f t="shared" ca="1" si="49"/>
        <v>0.6255582141690581</v>
      </c>
      <c r="S97" s="307">
        <f t="shared" ca="1" si="50"/>
        <v>8.4412159729630414</v>
      </c>
      <c r="T97" s="304">
        <f t="shared" ca="1" si="30"/>
        <v>82.80832869476744</v>
      </c>
      <c r="U97" s="311">
        <f t="shared" ca="1" si="31"/>
        <v>0</v>
      </c>
      <c r="V97" s="306">
        <f t="shared" ca="1" si="32"/>
        <v>1.2180494656436085</v>
      </c>
      <c r="W97" s="304">
        <f t="shared" ca="1" si="33"/>
        <v>60.664580284886149</v>
      </c>
      <c r="Y97" s="314" t="str">
        <f t="shared" ca="1" si="51"/>
        <v/>
      </c>
      <c r="Z97" s="315" t="str">
        <f t="shared" ca="1" si="52"/>
        <v/>
      </c>
      <c r="AA97" s="316" t="str">
        <f t="shared" ca="1" si="53"/>
        <v/>
      </c>
      <c r="AC97" s="310" t="e">
        <f t="shared" ca="1" si="54"/>
        <v>#N/A</v>
      </c>
      <c r="AD97" s="323" t="e">
        <f t="shared" ca="1" si="55"/>
        <v>#N/A</v>
      </c>
      <c r="AE97" s="324">
        <f t="shared" ca="1" si="34"/>
        <v>56.900479946366985</v>
      </c>
      <c r="AG97" s="306">
        <f t="shared" ca="1" si="56"/>
        <v>134.13203413783467</v>
      </c>
      <c r="AH97" s="304">
        <f t="shared" ca="1" si="57"/>
        <v>143.76325855763176</v>
      </c>
    </row>
    <row r="98" spans="1:34" x14ac:dyDescent="0.3">
      <c r="A98" s="347">
        <f t="shared" ca="1" si="35"/>
        <v>0.01</v>
      </c>
      <c r="B98" s="304">
        <f t="shared" ca="1" si="36"/>
        <v>0.94000000000000061</v>
      </c>
      <c r="D98" s="306">
        <f t="shared" ca="1" si="37"/>
        <v>27.263880275235834</v>
      </c>
      <c r="E98" s="307">
        <f t="shared" ca="1" si="38"/>
        <v>130.92775654924822</v>
      </c>
      <c r="F98" s="304">
        <f t="shared" ca="1" si="39"/>
        <v>133.73629500880307</v>
      </c>
      <c r="G98" s="306">
        <f t="shared" ca="1" si="40"/>
        <v>24.350679592788001</v>
      </c>
      <c r="H98" s="307">
        <f t="shared" ca="1" si="41"/>
        <v>125.60154296136493</v>
      </c>
      <c r="I98" s="304">
        <f t="shared" ca="1" si="42"/>
        <v>127.94023288593084</v>
      </c>
      <c r="J98" s="306">
        <f t="shared" ca="1" si="43"/>
        <v>10.910295217429958</v>
      </c>
      <c r="K98" s="307">
        <f t="shared" ca="1" si="44"/>
        <v>58.14994898815317</v>
      </c>
      <c r="L98" s="304">
        <f t="shared" ca="1" si="29"/>
        <v>59.164610275537953</v>
      </c>
      <c r="M98" s="306">
        <f t="shared" ca="1" si="45"/>
        <v>1.3792995189162265</v>
      </c>
      <c r="N98" s="304">
        <f t="shared" ca="1" si="46"/>
        <v>79.028041118324637</v>
      </c>
      <c r="P98" s="310">
        <f t="shared" ca="1" si="47"/>
        <v>9</v>
      </c>
      <c r="Q98" s="304">
        <f t="shared" ca="1" si="48"/>
        <v>1269.8539999999998</v>
      </c>
      <c r="R98" s="306">
        <f t="shared" ca="1" si="49"/>
        <v>0.62404657011417375</v>
      </c>
      <c r="S98" s="307">
        <f t="shared" ca="1" si="50"/>
        <v>8.4349755072618997</v>
      </c>
      <c r="T98" s="304">
        <f t="shared" ca="1" si="30"/>
        <v>82.747109726239245</v>
      </c>
      <c r="U98" s="311">
        <f t="shared" ca="1" si="31"/>
        <v>0</v>
      </c>
      <c r="V98" s="306">
        <f t="shared" ca="1" si="32"/>
        <v>1.2178972823823087</v>
      </c>
      <c r="W98" s="304">
        <f t="shared" ca="1" si="33"/>
        <v>61.945137576963425</v>
      </c>
      <c r="Y98" s="314" t="str">
        <f t="shared" ca="1" si="51"/>
        <v/>
      </c>
      <c r="Z98" s="315" t="str">
        <f t="shared" ca="1" si="52"/>
        <v/>
      </c>
      <c r="AA98" s="316" t="str">
        <f t="shared" ca="1" si="53"/>
        <v/>
      </c>
      <c r="AC98" s="310" t="e">
        <f t="shared" ca="1" si="54"/>
        <v>#N/A</v>
      </c>
      <c r="AD98" s="323" t="e">
        <f t="shared" ca="1" si="55"/>
        <v>#N/A</v>
      </c>
      <c r="AE98" s="324">
        <f t="shared" ca="1" si="34"/>
        <v>58.14994898815317</v>
      </c>
      <c r="AG98" s="306">
        <f t="shared" ca="1" si="56"/>
        <v>133.72328030853217</v>
      </c>
      <c r="AH98" s="304">
        <f t="shared" ca="1" si="57"/>
        <v>143.3542300951662</v>
      </c>
    </row>
    <row r="99" spans="1:34" x14ac:dyDescent="0.3">
      <c r="A99" s="347">
        <f t="shared" ca="1" si="35"/>
        <v>0.01</v>
      </c>
      <c r="B99" s="304">
        <f t="shared" ca="1" si="36"/>
        <v>0.95000000000000062</v>
      </c>
      <c r="D99" s="306">
        <f t="shared" ca="1" si="37"/>
        <v>27.206180379009481</v>
      </c>
      <c r="E99" s="307">
        <f t="shared" ca="1" si="38"/>
        <v>130.52030251446723</v>
      </c>
      <c r="F99" s="304">
        <f t="shared" ca="1" si="39"/>
        <v>133.32563751688284</v>
      </c>
      <c r="G99" s="306">
        <f t="shared" ca="1" si="40"/>
        <v>24.622741396578096</v>
      </c>
      <c r="H99" s="307">
        <f t="shared" ca="1" si="41"/>
        <v>126.90674598650961</v>
      </c>
      <c r="I99" s="304">
        <f t="shared" ca="1" si="42"/>
        <v>129.27335986492821</v>
      </c>
      <c r="J99" s="306">
        <f t="shared" ca="1" si="43"/>
        <v>11.155162322376789</v>
      </c>
      <c r="K99" s="307">
        <f t="shared" ca="1" si="44"/>
        <v>59.41249043289254</v>
      </c>
      <c r="L99" s="304">
        <f t="shared" ca="1" si="29"/>
        <v>60.450654801061688</v>
      </c>
      <c r="M99" s="306">
        <f t="shared" ca="1" si="45"/>
        <v>1.3791550867510467</v>
      </c>
      <c r="N99" s="304">
        <f t="shared" ca="1" si="46"/>
        <v>79.019765764833892</v>
      </c>
      <c r="P99" s="310">
        <f t="shared" ca="1" si="47"/>
        <v>9</v>
      </c>
      <c r="Q99" s="304">
        <f t="shared" ca="1" si="48"/>
        <v>1266.7779999999998</v>
      </c>
      <c r="R99" s="306">
        <f t="shared" ca="1" si="49"/>
        <v>0.6225349260592894</v>
      </c>
      <c r="S99" s="307">
        <f t="shared" ca="1" si="50"/>
        <v>8.4287501580013071</v>
      </c>
      <c r="T99" s="304">
        <f t="shared" ca="1" si="30"/>
        <v>82.686039049992829</v>
      </c>
      <c r="U99" s="311">
        <f t="shared" ca="1" si="31"/>
        <v>0</v>
      </c>
      <c r="V99" s="306">
        <f t="shared" ca="1" si="32"/>
        <v>1.2177435261810381</v>
      </c>
      <c r="W99" s="304">
        <f t="shared" ca="1" si="33"/>
        <v>63.234805768134912</v>
      </c>
      <c r="Y99" s="314" t="str">
        <f t="shared" ca="1" si="51"/>
        <v/>
      </c>
      <c r="Z99" s="315" t="str">
        <f t="shared" ca="1" si="52"/>
        <v/>
      </c>
      <c r="AA99" s="316" t="str">
        <f t="shared" ca="1" si="53"/>
        <v/>
      </c>
      <c r="AC99" s="310" t="e">
        <f t="shared" ca="1" si="54"/>
        <v>#N/A</v>
      </c>
      <c r="AD99" s="323" t="e">
        <f t="shared" ca="1" si="55"/>
        <v>#N/A</v>
      </c>
      <c r="AE99" s="324">
        <f t="shared" ca="1" si="34"/>
        <v>59.41249043289254</v>
      </c>
      <c r="AG99" s="306">
        <f t="shared" ca="1" si="56"/>
        <v>133.31256306341811</v>
      </c>
      <c r="AH99" s="304">
        <f t="shared" ca="1" si="57"/>
        <v>142.94324067481151</v>
      </c>
    </row>
    <row r="100" spans="1:34" x14ac:dyDescent="0.3">
      <c r="A100" s="347">
        <f t="shared" ca="1" si="35"/>
        <v>0.01</v>
      </c>
      <c r="B100" s="304">
        <f t="shared" ca="1" si="36"/>
        <v>0.96000000000000063</v>
      </c>
      <c r="D100" s="306">
        <f t="shared" ca="1" si="37"/>
        <v>27.147796526435513</v>
      </c>
      <c r="E100" s="307">
        <f t="shared" ca="1" si="38"/>
        <v>130.110996707239</v>
      </c>
      <c r="F100" s="304">
        <f t="shared" ca="1" si="39"/>
        <v>132.91303292150059</v>
      </c>
      <c r="G100" s="306">
        <f t="shared" ca="1" si="40"/>
        <v>24.894219361842453</v>
      </c>
      <c r="H100" s="307">
        <f t="shared" ca="1" si="41"/>
        <v>128.207855953582</v>
      </c>
      <c r="I100" s="304">
        <f t="shared" ca="1" si="42"/>
        <v>130.60236018483727</v>
      </c>
      <c r="J100" s="306">
        <f t="shared" ca="1" si="43"/>
        <v>11.402747126168892</v>
      </c>
      <c r="K100" s="307">
        <f t="shared" ca="1" si="44"/>
        <v>60.688063442592998</v>
      </c>
      <c r="L100" s="304">
        <f t="shared" ca="1" si="29"/>
        <v>61.750009606764806</v>
      </c>
      <c r="M100" s="306">
        <f t="shared" ca="1" si="45"/>
        <v>1.379012017813861</v>
      </c>
      <c r="N100" s="304">
        <f t="shared" ca="1" si="46"/>
        <v>79.01156851855373</v>
      </c>
      <c r="P100" s="310">
        <f t="shared" ca="1" si="47"/>
        <v>9</v>
      </c>
      <c r="Q100" s="304">
        <f t="shared" ca="1" si="48"/>
        <v>1263.7019999999998</v>
      </c>
      <c r="R100" s="306">
        <f t="shared" ca="1" si="49"/>
        <v>0.62102328200440493</v>
      </c>
      <c r="S100" s="307">
        <f t="shared" ca="1" si="50"/>
        <v>8.4225399251812636</v>
      </c>
      <c r="T100" s="304">
        <f t="shared" ca="1" si="30"/>
        <v>82.625116666028205</v>
      </c>
      <c r="U100" s="311">
        <f t="shared" ca="1" si="31"/>
        <v>0</v>
      </c>
      <c r="V100" s="306">
        <f t="shared" ca="1" si="32"/>
        <v>1.2175882026097944</v>
      </c>
      <c r="W100" s="304">
        <f t="shared" ca="1" si="33"/>
        <v>64.533432982252904</v>
      </c>
      <c r="Y100" s="314" t="str">
        <f t="shared" ca="1" si="51"/>
        <v/>
      </c>
      <c r="Z100" s="315" t="str">
        <f t="shared" ca="1" si="52"/>
        <v/>
      </c>
      <c r="AA100" s="316" t="str">
        <f t="shared" ca="1" si="53"/>
        <v/>
      </c>
      <c r="AC100" s="310" t="e">
        <f t="shared" ca="1" si="54"/>
        <v>#N/A</v>
      </c>
      <c r="AD100" s="323" t="e">
        <f t="shared" ca="1" si="55"/>
        <v>#N/A</v>
      </c>
      <c r="AE100" s="324">
        <f t="shared" ca="1" si="34"/>
        <v>60.688063442592998</v>
      </c>
      <c r="AG100" s="306">
        <f t="shared" ca="1" si="56"/>
        <v>132.8998983277416</v>
      </c>
      <c r="AH100" s="304">
        <f t="shared" ca="1" si="57"/>
        <v>142.53030616604994</v>
      </c>
    </row>
    <row r="101" spans="1:34" x14ac:dyDescent="0.3">
      <c r="A101" s="347">
        <f t="shared" ca="1" si="35"/>
        <v>0.01</v>
      </c>
      <c r="B101" s="304">
        <f t="shared" ca="1" si="36"/>
        <v>0.97000000000000064</v>
      </c>
      <c r="D101" s="306">
        <f t="shared" ca="1" si="37"/>
        <v>27.08873711109289</v>
      </c>
      <c r="E101" s="307">
        <f t="shared" ca="1" si="38"/>
        <v>129.69985387502464</v>
      </c>
      <c r="F101" s="304">
        <f t="shared" ca="1" si="39"/>
        <v>132.4984972498807</v>
      </c>
      <c r="G101" s="306">
        <f t="shared" ca="1" si="40"/>
        <v>25.165106732953383</v>
      </c>
      <c r="H101" s="307">
        <f t="shared" ca="1" si="41"/>
        <v>129.50485449233224</v>
      </c>
      <c r="I101" s="304">
        <f t="shared" ca="1" si="42"/>
        <v>131.9272145311993</v>
      </c>
      <c r="J101" s="306">
        <f t="shared" ca="1" si="43"/>
        <v>11.653043756642871</v>
      </c>
      <c r="K101" s="307">
        <f t="shared" ca="1" si="44"/>
        <v>61.976626994822567</v>
      </c>
      <c r="L101" s="304">
        <f t="shared" ca="1" si="29"/>
        <v>63.062633329489209</v>
      </c>
      <c r="M101" s="306">
        <f t="shared" ca="1" si="45"/>
        <v>1.3788702811838427</v>
      </c>
      <c r="N101" s="304">
        <f t="shared" ca="1" si="46"/>
        <v>79.003447607851271</v>
      </c>
      <c r="P101" s="310">
        <f t="shared" ca="1" si="47"/>
        <v>9</v>
      </c>
      <c r="Q101" s="304">
        <f t="shared" ca="1" si="48"/>
        <v>1260.6259999999997</v>
      </c>
      <c r="R101" s="306">
        <f t="shared" ca="1" si="49"/>
        <v>0.61951163794952047</v>
      </c>
      <c r="S101" s="307">
        <f t="shared" ca="1" si="50"/>
        <v>8.4163448088017692</v>
      </c>
      <c r="T101" s="304">
        <f t="shared" ca="1" si="30"/>
        <v>82.564342574345361</v>
      </c>
      <c r="U101" s="311">
        <f t="shared" ca="1" si="31"/>
        <v>0</v>
      </c>
      <c r="V101" s="306">
        <f t="shared" ca="1" si="32"/>
        <v>1.2174313172644715</v>
      </c>
      <c r="W101" s="304">
        <f t="shared" ca="1" si="33"/>
        <v>65.840867130818694</v>
      </c>
      <c r="Y101" s="314" t="str">
        <f t="shared" ca="1" si="51"/>
        <v/>
      </c>
      <c r="Z101" s="315" t="str">
        <f t="shared" ca="1" si="52"/>
        <v/>
      </c>
      <c r="AA101" s="316" t="str">
        <f t="shared" ca="1" si="53"/>
        <v/>
      </c>
      <c r="AC101" s="310" t="e">
        <f t="shared" ca="1" si="54"/>
        <v>#N/A</v>
      </c>
      <c r="AD101" s="323" t="e">
        <f t="shared" ca="1" si="55"/>
        <v>#N/A</v>
      </c>
      <c r="AE101" s="324">
        <f t="shared" ca="1" si="34"/>
        <v>61.976626994822567</v>
      </c>
      <c r="AG101" s="306">
        <f t="shared" ca="1" si="56"/>
        <v>132.48530212011792</v>
      </c>
      <c r="AH101" s="304">
        <f t="shared" ca="1" si="57"/>
        <v>142.11544253354253</v>
      </c>
    </row>
    <row r="102" spans="1:34" x14ac:dyDescent="0.3">
      <c r="A102" s="347">
        <f t="shared" ca="1" si="35"/>
        <v>0.01</v>
      </c>
      <c r="B102" s="304">
        <f t="shared" ca="1" si="36"/>
        <v>0.98000000000000065</v>
      </c>
      <c r="D102" s="306">
        <f t="shared" ca="1" si="37"/>
        <v>27.029010370063812</v>
      </c>
      <c r="E102" s="307">
        <f t="shared" ca="1" si="38"/>
        <v>129.28688888635384</v>
      </c>
      <c r="F102" s="304">
        <f t="shared" ca="1" si="39"/>
        <v>132.0820466206419</v>
      </c>
      <c r="G102" s="306">
        <f t="shared" ca="1" si="40"/>
        <v>25.435396836654022</v>
      </c>
      <c r="H102" s="307">
        <f t="shared" ca="1" si="41"/>
        <v>130.79772338119579</v>
      </c>
      <c r="I102" s="304">
        <f t="shared" ca="1" si="42"/>
        <v>133.24790375064774</v>
      </c>
      <c r="J102" s="306">
        <f t="shared" ca="1" si="43"/>
        <v>11.906046274490908</v>
      </c>
      <c r="K102" s="307">
        <f t="shared" ca="1" si="44"/>
        <v>63.27813988419021</v>
      </c>
      <c r="L102" s="304">
        <f t="shared" ca="1" si="29"/>
        <v>64.388484413701363</v>
      </c>
      <c r="M102" s="306">
        <f t="shared" ca="1" si="45"/>
        <v>1.3787298469442328</v>
      </c>
      <c r="N102" s="304">
        <f t="shared" ca="1" si="46"/>
        <v>78.995401318622498</v>
      </c>
      <c r="P102" s="310">
        <f t="shared" ca="1" si="47"/>
        <v>9</v>
      </c>
      <c r="Q102" s="304">
        <f t="shared" ca="1" si="48"/>
        <v>1257.5499999999997</v>
      </c>
      <c r="R102" s="306">
        <f t="shared" ca="1" si="49"/>
        <v>0.61799999389463611</v>
      </c>
      <c r="S102" s="307">
        <f t="shared" ca="1" si="50"/>
        <v>8.410164808862822</v>
      </c>
      <c r="T102" s="304">
        <f t="shared" ca="1" si="30"/>
        <v>82.503716774944294</v>
      </c>
      <c r="U102" s="311">
        <f t="shared" ca="1" si="31"/>
        <v>0</v>
      </c>
      <c r="V102" s="306">
        <f t="shared" ca="1" si="32"/>
        <v>1.2172728757665938</v>
      </c>
      <c r="W102" s="304">
        <f t="shared" ca="1" si="33"/>
        <v>67.156955930550851</v>
      </c>
      <c r="Y102" s="314" t="str">
        <f t="shared" ca="1" si="51"/>
        <v/>
      </c>
      <c r="Z102" s="315" t="str">
        <f t="shared" ca="1" si="52"/>
        <v/>
      </c>
      <c r="AA102" s="316" t="str">
        <f t="shared" ca="1" si="53"/>
        <v/>
      </c>
      <c r="AC102" s="310" t="e">
        <f t="shared" ca="1" si="54"/>
        <v>#N/A</v>
      </c>
      <c r="AD102" s="323" t="e">
        <f t="shared" ca="1" si="55"/>
        <v>#N/A</v>
      </c>
      <c r="AE102" s="324">
        <f t="shared" ca="1" si="34"/>
        <v>63.27813988419021</v>
      </c>
      <c r="AG102" s="306">
        <f t="shared" ca="1" si="56"/>
        <v>132.06879055057959</v>
      </c>
      <c r="AH102" s="304">
        <f t="shared" ca="1" si="57"/>
        <v>141.69866583510122</v>
      </c>
    </row>
    <row r="103" spans="1:34" x14ac:dyDescent="0.3">
      <c r="A103" s="347">
        <f t="shared" ca="1" si="35"/>
        <v>0.01</v>
      </c>
      <c r="B103" s="304">
        <f t="shared" ca="1" si="36"/>
        <v>0.99000000000000066</v>
      </c>
      <c r="D103" s="306">
        <f t="shared" ca="1" si="37"/>
        <v>26.968624391352165</v>
      </c>
      <c r="E103" s="307">
        <f t="shared" ca="1" si="38"/>
        <v>128.87211672751226</v>
      </c>
      <c r="F103" s="304">
        <f t="shared" ca="1" si="39"/>
        <v>131.66369724184182</v>
      </c>
      <c r="G103" s="306">
        <f t="shared" ca="1" si="40"/>
        <v>25.705083080567544</v>
      </c>
      <c r="H103" s="307">
        <f t="shared" ca="1" si="41"/>
        <v>132.08644454847092</v>
      </c>
      <c r="I103" s="304">
        <f t="shared" ca="1" si="42"/>
        <v>134.56440885180288</v>
      </c>
      <c r="J103" s="306">
        <f t="shared" ca="1" si="43"/>
        <v>12.161748674077016</v>
      </c>
      <c r="K103" s="307">
        <f t="shared" ca="1" si="44"/>
        <v>64.592560723838545</v>
      </c>
      <c r="L103" s="304">
        <f t="shared" ca="1" si="29"/>
        <v>65.727521113108949</v>
      </c>
      <c r="M103" s="306">
        <f t="shared" ca="1" si="45"/>
        <v>1.3785906861389419</v>
      </c>
      <c r="N103" s="304">
        <f t="shared" ca="1" si="46"/>
        <v>78.987427991805689</v>
      </c>
      <c r="P103" s="310">
        <f t="shared" ca="1" si="47"/>
        <v>9</v>
      </c>
      <c r="Q103" s="304">
        <f t="shared" ca="1" si="48"/>
        <v>1254.4739999999997</v>
      </c>
      <c r="R103" s="306">
        <f t="shared" ca="1" si="49"/>
        <v>0.61648834983975165</v>
      </c>
      <c r="S103" s="307">
        <f t="shared" ca="1" si="50"/>
        <v>8.403999925364424</v>
      </c>
      <c r="T103" s="304">
        <f t="shared" ca="1" si="30"/>
        <v>82.443239267825007</v>
      </c>
      <c r="U103" s="311">
        <f t="shared" ca="1" si="31"/>
        <v>0</v>
      </c>
      <c r="V103" s="306">
        <f t="shared" ca="1" si="32"/>
        <v>1.2171128837630534</v>
      </c>
      <c r="W103" s="304">
        <f t="shared" ca="1" si="33"/>
        <v>68.481546920921346</v>
      </c>
      <c r="Y103" s="314" t="str">
        <f t="shared" ca="1" si="51"/>
        <v/>
      </c>
      <c r="Z103" s="315" t="str">
        <f t="shared" ca="1" si="52"/>
        <v/>
      </c>
      <c r="AA103" s="316" t="str">
        <f t="shared" ca="1" si="53"/>
        <v/>
      </c>
      <c r="AC103" s="310" t="e">
        <f t="shared" ca="1" si="54"/>
        <v>#N/A</v>
      </c>
      <c r="AD103" s="323" t="e">
        <f t="shared" ca="1" si="55"/>
        <v>#N/A</v>
      </c>
      <c r="AE103" s="324">
        <f t="shared" ca="1" si="34"/>
        <v>64.592560723838545</v>
      </c>
      <c r="AG103" s="306">
        <f t="shared" ca="1" si="56"/>
        <v>131.65037981861505</v>
      </c>
      <c r="AH103" s="304">
        <f t="shared" ca="1" si="57"/>
        <v>141.27999221965285</v>
      </c>
    </row>
    <row r="104" spans="1:34" x14ac:dyDescent="0.3">
      <c r="A104" s="347">
        <f t="shared" ca="1" si="35"/>
        <v>0.01</v>
      </c>
      <c r="B104" s="304">
        <f t="shared" ca="1" si="36"/>
        <v>1.0000000000000007</v>
      </c>
      <c r="D104" s="306">
        <f t="shared" ca="1" si="37"/>
        <v>26.90758712087699</v>
      </c>
      <c r="E104" s="307">
        <f t="shared" ca="1" si="38"/>
        <v>128.45555249929183</v>
      </c>
      <c r="F104" s="304">
        <f t="shared" ca="1" si="39"/>
        <v>131.24346540900962</v>
      </c>
      <c r="G104" s="306">
        <f t="shared" ca="1" si="40"/>
        <v>25.974158951776314</v>
      </c>
      <c r="H104" s="307">
        <f t="shared" ca="1" si="41"/>
        <v>133.37100007346385</v>
      </c>
      <c r="I104" s="304">
        <f t="shared" ca="1" si="42"/>
        <v>135.87671100614716</v>
      </c>
      <c r="J104" s="306">
        <f t="shared" ca="1" si="43"/>
        <v>12.420144884238734</v>
      </c>
      <c r="K104" s="307">
        <f t="shared" ca="1" si="44"/>
        <v>65.919847946948224</v>
      </c>
      <c r="L104" s="304">
        <f t="shared" ca="1" si="29"/>
        <v>67.079701492286446</v>
      </c>
      <c r="M104" s="306">
        <f t="shared" ca="1" si="45"/>
        <v>1.3784527707314791</v>
      </c>
      <c r="N104" s="304">
        <f t="shared" ca="1" si="46"/>
        <v>78.979526021028249</v>
      </c>
      <c r="P104" s="310">
        <f t="shared" ca="1" si="47"/>
        <v>9</v>
      </c>
      <c r="Q104" s="304">
        <f t="shared" ca="1" si="48"/>
        <v>1251.3979999999997</v>
      </c>
      <c r="R104" s="306">
        <f t="shared" ca="1" si="49"/>
        <v>0.61497670578486718</v>
      </c>
      <c r="S104" s="307">
        <f t="shared" ca="1" si="50"/>
        <v>8.397850158306575</v>
      </c>
      <c r="T104" s="304">
        <f t="shared" ca="1" si="30"/>
        <v>82.382910052987498</v>
      </c>
      <c r="U104" s="311">
        <f t="shared" ca="1" si="31"/>
        <v>0</v>
      </c>
      <c r="V104" s="306">
        <f t="shared" ca="1" si="32"/>
        <v>1.2169513469258402</v>
      </c>
      <c r="W104" s="304">
        <f t="shared" ca="1" si="33"/>
        <v>69.814487481656215</v>
      </c>
      <c r="Y104" s="314" t="str">
        <f t="shared" ca="1" si="51"/>
        <v/>
      </c>
      <c r="Z104" s="315" t="str">
        <f t="shared" ca="1" si="52"/>
        <v/>
      </c>
      <c r="AA104" s="316" t="str">
        <f t="shared" ca="1" si="53"/>
        <v/>
      </c>
      <c r="AC104" s="310">
        <f t="shared" ca="1" si="54"/>
        <v>1.0000000000000007</v>
      </c>
      <c r="AD104" s="323">
        <f t="shared" ca="1" si="55"/>
        <v>12.420144884238734</v>
      </c>
      <c r="AE104" s="324">
        <f t="shared" ca="1" si="34"/>
        <v>65.919847946948224</v>
      </c>
      <c r="AG104" s="306">
        <f t="shared" ca="1" si="56"/>
        <v>131.23008621119556</v>
      </c>
      <c r="AH104" s="304">
        <f t="shared" ca="1" si="57"/>
        <v>140.85943792519552</v>
      </c>
    </row>
    <row r="105" spans="1:34" x14ac:dyDescent="0.3">
      <c r="A105" s="347">
        <f t="shared" ca="1" si="35"/>
        <v>0.01</v>
      </c>
      <c r="B105" s="304">
        <f t="shared" ca="1" si="36"/>
        <v>1.0100000000000007</v>
      </c>
      <c r="D105" s="306">
        <f t="shared" ca="1" si="37"/>
        <v>26.844584241622872</v>
      </c>
      <c r="E105" s="307">
        <f t="shared" ca="1" si="38"/>
        <v>128.03042261036299</v>
      </c>
      <c r="F105" s="304">
        <f t="shared" ca="1" si="39"/>
        <v>130.81445186558605</v>
      </c>
      <c r="G105" s="306">
        <f t="shared" ca="1" si="40"/>
        <v>26.242604794192541</v>
      </c>
      <c r="H105" s="307">
        <f t="shared" ca="1" si="41"/>
        <v>134.65130429956747</v>
      </c>
      <c r="I105" s="304">
        <f t="shared" ca="1" si="42"/>
        <v>137.18472238539866</v>
      </c>
      <c r="J105" s="306">
        <f t="shared" ca="1" si="43"/>
        <v>12.681228702968578</v>
      </c>
      <c r="K105" s="307">
        <f t="shared" ca="1" si="44"/>
        <v>67.259959468813378</v>
      </c>
      <c r="L105" s="304">
        <f t="shared" ca="1" si="29"/>
        <v>68.444983082497814</v>
      </c>
      <c r="M105" s="306">
        <f t="shared" ca="1" si="45"/>
        <v>1.3783160734971414</v>
      </c>
      <c r="N105" s="304">
        <f t="shared" ca="1" si="46"/>
        <v>78.971693846429588</v>
      </c>
      <c r="P105" s="310">
        <f t="shared" ca="1" si="47"/>
        <v>10</v>
      </c>
      <c r="Q105" s="304">
        <f t="shared" ca="1" si="48"/>
        <v>1248.2639999999997</v>
      </c>
      <c r="R105" s="306">
        <f t="shared" ca="1" si="49"/>
        <v>0.61343655868863578</v>
      </c>
      <c r="S105" s="307">
        <f t="shared" ca="1" si="50"/>
        <v>8.3917157927196886</v>
      </c>
      <c r="T105" s="304">
        <f t="shared" ca="1" si="30"/>
        <v>82.322731926580147</v>
      </c>
      <c r="U105" s="311">
        <f t="shared" ca="1" si="31"/>
        <v>0</v>
      </c>
      <c r="V105" s="306">
        <f t="shared" ca="1" si="32"/>
        <v>1.2167882709930791</v>
      </c>
      <c r="W105" s="304">
        <f t="shared" ca="1" si="33"/>
        <v>71.155553104578743</v>
      </c>
      <c r="Y105" s="314" t="str">
        <f t="shared" ca="1" si="51"/>
        <v/>
      </c>
      <c r="Z105" s="315" t="str">
        <f t="shared" ca="1" si="52"/>
        <v/>
      </c>
      <c r="AA105" s="316" t="str">
        <f t="shared" ca="1" si="53"/>
        <v/>
      </c>
      <c r="AC105" s="310" t="e">
        <f t="shared" ca="1" si="54"/>
        <v>#N/A</v>
      </c>
      <c r="AD105" s="323" t="e">
        <f t="shared" ca="1" si="55"/>
        <v>#N/A</v>
      </c>
      <c r="AE105" s="324">
        <f t="shared" ca="1" si="34"/>
        <v>67.259959468813378</v>
      </c>
      <c r="AG105" s="306">
        <f t="shared" ca="1" si="56"/>
        <v>130.80100975254351</v>
      </c>
      <c r="AH105" s="304">
        <f t="shared" ca="1" si="57"/>
        <v>140.43010292849982</v>
      </c>
    </row>
    <row r="106" spans="1:34" x14ac:dyDescent="0.3">
      <c r="A106" s="347">
        <f t="shared" ca="1" si="35"/>
        <v>0.01</v>
      </c>
      <c r="B106" s="304">
        <f t="shared" ca="1" si="36"/>
        <v>1.0200000000000007</v>
      </c>
      <c r="D106" s="306">
        <f t="shared" ca="1" si="37"/>
        <v>26.77961849863075</v>
      </c>
      <c r="E106" s="307">
        <f t="shared" ca="1" si="38"/>
        <v>127.5967318303494</v>
      </c>
      <c r="F106" s="304">
        <f t="shared" ca="1" si="39"/>
        <v>130.37666179465674</v>
      </c>
      <c r="G106" s="306">
        <f t="shared" ca="1" si="40"/>
        <v>26.510400979178847</v>
      </c>
      <c r="H106" s="307">
        <f t="shared" ca="1" si="41"/>
        <v>135.92727161787096</v>
      </c>
      <c r="I106" s="304">
        <f t="shared" ca="1" si="42"/>
        <v>138.48835521283121</v>
      </c>
      <c r="J106" s="306">
        <f t="shared" ca="1" si="43"/>
        <v>12.944993731835435</v>
      </c>
      <c r="K106" s="307">
        <f t="shared" ca="1" si="44"/>
        <v>68.612852348400565</v>
      </c>
      <c r="L106" s="304">
        <f t="shared" ca="1" si="29"/>
        <v>69.823322536962365</v>
      </c>
      <c r="M106" s="306">
        <f t="shared" ca="1" si="45"/>
        <v>1.3781805679909744</v>
      </c>
      <c r="N106" s="304">
        <f t="shared" ca="1" si="46"/>
        <v>78.963929952825438</v>
      </c>
      <c r="P106" s="310">
        <f t="shared" ca="1" si="47"/>
        <v>10</v>
      </c>
      <c r="Q106" s="304">
        <f t="shared" ca="1" si="48"/>
        <v>1245.0719999999997</v>
      </c>
      <c r="R106" s="306">
        <f t="shared" ca="1" si="49"/>
        <v>0.61186790855105744</v>
      </c>
      <c r="S106" s="307">
        <f t="shared" ca="1" si="50"/>
        <v>8.3855971136341783</v>
      </c>
      <c r="T106" s="304">
        <f t="shared" ca="1" si="30"/>
        <v>82.262707684751291</v>
      </c>
      <c r="U106" s="311">
        <f t="shared" ca="1" si="31"/>
        <v>0</v>
      </c>
      <c r="V106" s="306">
        <f t="shared" ca="1" si="32"/>
        <v>1.2166236618100934</v>
      </c>
      <c r="W106" s="304">
        <f t="shared" ca="1" si="33"/>
        <v>72.504516355200025</v>
      </c>
      <c r="Y106" s="314" t="str">
        <f t="shared" ca="1" si="51"/>
        <v/>
      </c>
      <c r="Z106" s="315" t="str">
        <f t="shared" ca="1" si="52"/>
        <v/>
      </c>
      <c r="AA106" s="316" t="str">
        <f t="shared" ca="1" si="53"/>
        <v/>
      </c>
      <c r="AC106" s="310" t="e">
        <f t="shared" ca="1" si="54"/>
        <v>#N/A</v>
      </c>
      <c r="AD106" s="323" t="e">
        <f t="shared" ca="1" si="55"/>
        <v>#N/A</v>
      </c>
      <c r="AE106" s="324">
        <f t="shared" ca="1" si="34"/>
        <v>68.612852348400565</v>
      </c>
      <c r="AG106" s="306">
        <f t="shared" ca="1" si="56"/>
        <v>130.3631555988845</v>
      </c>
      <c r="AH106" s="304">
        <f t="shared" ca="1" si="57"/>
        <v>139.99199233966834</v>
      </c>
    </row>
    <row r="107" spans="1:34" x14ac:dyDescent="0.3">
      <c r="A107" s="347">
        <f t="shared" ca="1" si="35"/>
        <v>0.01</v>
      </c>
      <c r="B107" s="304">
        <f t="shared" ca="1" si="36"/>
        <v>1.0300000000000007</v>
      </c>
      <c r="D107" s="306">
        <f t="shared" ca="1" si="37"/>
        <v>26.714018549464374</v>
      </c>
      <c r="E107" s="307">
        <f t="shared" ca="1" si="38"/>
        <v>127.16128377008656</v>
      </c>
      <c r="F107" s="304">
        <f t="shared" ca="1" si="39"/>
        <v>129.93702658256271</v>
      </c>
      <c r="G107" s="306">
        <f t="shared" ca="1" si="40"/>
        <v>26.77754116467349</v>
      </c>
      <c r="H107" s="307">
        <f t="shared" ca="1" si="41"/>
        <v>137.19888445557183</v>
      </c>
      <c r="I107" s="304">
        <f t="shared" ca="1" si="42"/>
        <v>139.78759103253455</v>
      </c>
      <c r="J107" s="306">
        <f t="shared" ca="1" si="43"/>
        <v>13.211433442554696</v>
      </c>
      <c r="K107" s="307">
        <f t="shared" ca="1" si="44"/>
        <v>69.978483128767778</v>
      </c>
      <c r="L107" s="304">
        <f t="shared" ca="1" si="29"/>
        <v>71.214675977710442</v>
      </c>
      <c r="M107" s="306">
        <f t="shared" ca="1" si="45"/>
        <v>1.3780462285838546</v>
      </c>
      <c r="N107" s="304">
        <f t="shared" ca="1" si="46"/>
        <v>78.956232871775171</v>
      </c>
      <c r="P107" s="310">
        <f t="shared" ca="1" si="47"/>
        <v>10</v>
      </c>
      <c r="Q107" s="304">
        <f t="shared" ca="1" si="48"/>
        <v>1241.8799999999997</v>
      </c>
      <c r="R107" s="306">
        <f t="shared" ca="1" si="49"/>
        <v>0.6102992584134791</v>
      </c>
      <c r="S107" s="307">
        <f t="shared" ca="1" si="50"/>
        <v>8.379494121050044</v>
      </c>
      <c r="T107" s="304">
        <f t="shared" ca="1" si="30"/>
        <v>82.20283732750093</v>
      </c>
      <c r="U107" s="311">
        <f t="shared" ca="1" si="31"/>
        <v>0</v>
      </c>
      <c r="V107" s="306">
        <f t="shared" ca="1" si="32"/>
        <v>1.216457525287852</v>
      </c>
      <c r="W107" s="304">
        <f t="shared" ca="1" si="33"/>
        <v>73.861220108509301</v>
      </c>
      <c r="Y107" s="314" t="str">
        <f t="shared" ca="1" si="51"/>
        <v/>
      </c>
      <c r="Z107" s="315" t="str">
        <f t="shared" ca="1" si="52"/>
        <v/>
      </c>
      <c r="AA107" s="316" t="str">
        <f t="shared" ca="1" si="53"/>
        <v/>
      </c>
      <c r="AC107" s="310" t="e">
        <f t="shared" ca="1" si="54"/>
        <v>#N/A</v>
      </c>
      <c r="AD107" s="323" t="e">
        <f t="shared" ca="1" si="55"/>
        <v>#N/A</v>
      </c>
      <c r="AE107" s="324">
        <f t="shared" ca="1" si="34"/>
        <v>69.978483128767778</v>
      </c>
      <c r="AG107" s="306">
        <f t="shared" ca="1" si="56"/>
        <v>129.92345583246677</v>
      </c>
      <c r="AH107" s="304">
        <f t="shared" ca="1" si="57"/>
        <v>139.55203819610341</v>
      </c>
    </row>
    <row r="108" spans="1:34" x14ac:dyDescent="0.3">
      <c r="A108" s="347">
        <f t="shared" ca="1" si="35"/>
        <v>0.01</v>
      </c>
      <c r="B108" s="304">
        <f t="shared" ca="1" si="36"/>
        <v>1.0400000000000007</v>
      </c>
      <c r="D108" s="306">
        <f t="shared" ca="1" si="37"/>
        <v>26.647792014909957</v>
      </c>
      <c r="E108" s="307">
        <f t="shared" ca="1" si="38"/>
        <v>126.72409456701772</v>
      </c>
      <c r="F108" s="304">
        <f t="shared" ca="1" si="39"/>
        <v>129.49556348809926</v>
      </c>
      <c r="G108" s="306">
        <f t="shared" ca="1" si="40"/>
        <v>27.04401908482259</v>
      </c>
      <c r="H108" s="307">
        <f t="shared" ca="1" si="41"/>
        <v>138.46612540124201</v>
      </c>
      <c r="I108" s="304">
        <f t="shared" ca="1" si="42"/>
        <v>141.0824115610898</v>
      </c>
      <c r="J108" s="306">
        <f t="shared" ca="1" si="43"/>
        <v>13.480541243802177</v>
      </c>
      <c r="K108" s="307">
        <f t="shared" ca="1" si="44"/>
        <v>71.35680817805185</v>
      </c>
      <c r="L108" s="304">
        <f t="shared" ca="1" si="29"/>
        <v>72.618999343044791</v>
      </c>
      <c r="M108" s="306">
        <f t="shared" ca="1" si="45"/>
        <v>1.3779130304289313</v>
      </c>
      <c r="N108" s="304">
        <f t="shared" ca="1" si="46"/>
        <v>78.948601179659136</v>
      </c>
      <c r="P108" s="310">
        <f t="shared" ca="1" si="47"/>
        <v>10</v>
      </c>
      <c r="Q108" s="304">
        <f t="shared" ca="1" si="48"/>
        <v>1238.6879999999996</v>
      </c>
      <c r="R108" s="306">
        <f t="shared" ca="1" si="49"/>
        <v>0.60873060827590064</v>
      </c>
      <c r="S108" s="307">
        <f t="shared" ca="1" si="50"/>
        <v>8.3734068149672858</v>
      </c>
      <c r="T108" s="304">
        <f t="shared" ca="1" si="30"/>
        <v>82.143120854829078</v>
      </c>
      <c r="U108" s="311">
        <f t="shared" ca="1" si="31"/>
        <v>0</v>
      </c>
      <c r="V108" s="306">
        <f t="shared" ca="1" si="32"/>
        <v>1.2162898673613838</v>
      </c>
      <c r="W108" s="304">
        <f t="shared" ca="1" si="33"/>
        <v>75.225507182830569</v>
      </c>
      <c r="Y108" s="314" t="str">
        <f t="shared" ca="1" si="51"/>
        <v/>
      </c>
      <c r="Z108" s="315" t="str">
        <f t="shared" ca="1" si="52"/>
        <v/>
      </c>
      <c r="AA108" s="316" t="str">
        <f t="shared" ca="1" si="53"/>
        <v/>
      </c>
      <c r="AC108" s="310" t="e">
        <f t="shared" ca="1" si="54"/>
        <v>#N/A</v>
      </c>
      <c r="AD108" s="323" t="e">
        <f t="shared" ca="1" si="55"/>
        <v>#N/A</v>
      </c>
      <c r="AE108" s="324">
        <f t="shared" ca="1" si="34"/>
        <v>71.35680817805185</v>
      </c>
      <c r="AG108" s="306">
        <f t="shared" ca="1" si="56"/>
        <v>129.48192770309271</v>
      </c>
      <c r="AH108" s="304">
        <f t="shared" ca="1" si="57"/>
        <v>139.11025770411482</v>
      </c>
    </row>
    <row r="109" spans="1:34" x14ac:dyDescent="0.3">
      <c r="A109" s="347">
        <f t="shared" ca="1" si="35"/>
        <v>0.01</v>
      </c>
      <c r="B109" s="304">
        <f t="shared" ca="1" si="36"/>
        <v>1.0500000000000007</v>
      </c>
      <c r="D109" s="306">
        <f t="shared" ca="1" si="37"/>
        <v>26.580946400855506</v>
      </c>
      <c r="E109" s="307">
        <f t="shared" ca="1" si="38"/>
        <v>126.28518045674369</v>
      </c>
      <c r="F109" s="304">
        <f t="shared" ca="1" si="39"/>
        <v>129.05228984623818</v>
      </c>
      <c r="G109" s="306">
        <f t="shared" ca="1" si="40"/>
        <v>27.309828548831145</v>
      </c>
      <c r="H109" s="307">
        <f t="shared" ca="1" si="41"/>
        <v>139.72897720580946</v>
      </c>
      <c r="I109" s="304">
        <f t="shared" ca="1" si="42"/>
        <v>142.37279868833153</v>
      </c>
      <c r="J109" s="306">
        <f t="shared" ca="1" si="43"/>
        <v>13.752310481970445</v>
      </c>
      <c r="K109" s="307">
        <f t="shared" ca="1" si="44"/>
        <v>72.747783691087108</v>
      </c>
      <c r="L109" s="304">
        <f t="shared" ca="1" si="29"/>
        <v>74.036248389270199</v>
      </c>
      <c r="M109" s="306">
        <f t="shared" ca="1" si="45"/>
        <v>1.3777809494297826</v>
      </c>
      <c r="N109" s="304">
        <f t="shared" ca="1" si="46"/>
        <v>78.941033495854043</v>
      </c>
      <c r="P109" s="310">
        <f t="shared" ca="1" si="47"/>
        <v>10</v>
      </c>
      <c r="Q109" s="304">
        <f t="shared" ca="1" si="48"/>
        <v>1235.4959999999996</v>
      </c>
      <c r="R109" s="306">
        <f t="shared" ca="1" si="49"/>
        <v>0.6071619581383223</v>
      </c>
      <c r="S109" s="307">
        <f t="shared" ca="1" si="50"/>
        <v>8.3673351953859019</v>
      </c>
      <c r="T109" s="304">
        <f t="shared" ca="1" si="30"/>
        <v>82.083558266735707</v>
      </c>
      <c r="U109" s="311">
        <f t="shared" ca="1" si="31"/>
        <v>0</v>
      </c>
      <c r="V109" s="306">
        <f t="shared" ca="1" si="32"/>
        <v>1.2161206939894909</v>
      </c>
      <c r="W109" s="304">
        <f t="shared" ca="1" si="33"/>
        <v>76.597220357652034</v>
      </c>
      <c r="Y109" s="314" t="str">
        <f t="shared" ca="1" si="51"/>
        <v/>
      </c>
      <c r="Z109" s="315" t="str">
        <f t="shared" ca="1" si="52"/>
        <v/>
      </c>
      <c r="AA109" s="316" t="str">
        <f t="shared" ca="1" si="53"/>
        <v/>
      </c>
      <c r="AC109" s="310" t="e">
        <f t="shared" ca="1" si="54"/>
        <v>#N/A</v>
      </c>
      <c r="AD109" s="323" t="e">
        <f t="shared" ca="1" si="55"/>
        <v>#N/A</v>
      </c>
      <c r="AE109" s="324">
        <f t="shared" ca="1" si="34"/>
        <v>72.747783691087108</v>
      </c>
      <c r="AG109" s="306">
        <f t="shared" ca="1" si="56"/>
        <v>129.0385885367177</v>
      </c>
      <c r="AH109" s="304">
        <f t="shared" ca="1" si="57"/>
        <v>138.66666814746355</v>
      </c>
    </row>
    <row r="110" spans="1:34" x14ac:dyDescent="0.3">
      <c r="A110" s="347">
        <f t="shared" ca="1" si="35"/>
        <v>0.01</v>
      </c>
      <c r="B110" s="304">
        <f t="shared" ca="1" si="36"/>
        <v>1.0600000000000007</v>
      </c>
      <c r="D110" s="306">
        <f t="shared" ca="1" si="37"/>
        <v>26.5134891033271</v>
      </c>
      <c r="E110" s="307">
        <f t="shared" ca="1" si="38"/>
        <v>125.84455776996552</v>
      </c>
      <c r="F110" s="304">
        <f t="shared" ca="1" si="39"/>
        <v>128.60722306600991</v>
      </c>
      <c r="G110" s="306">
        <f t="shared" ca="1" si="40"/>
        <v>27.574963439864415</v>
      </c>
      <c r="H110" s="307">
        <f t="shared" ca="1" si="41"/>
        <v>140.98742278350912</v>
      </c>
      <c r="I110" s="304">
        <f t="shared" ca="1" si="42"/>
        <v>143.65873447808804</v>
      </c>
      <c r="J110" s="306">
        <f t="shared" ca="1" si="43"/>
        <v>14.026734441913923</v>
      </c>
      <c r="K110" s="307">
        <f t="shared" ca="1" si="44"/>
        <v>74.151365691033703</v>
      </c>
      <c r="L110" s="304">
        <f t="shared" ca="1" si="29"/>
        <v>75.466378692430865</v>
      </c>
      <c r="M110" s="306">
        <f t="shared" ca="1" si="45"/>
        <v>1.3776499622101783</v>
      </c>
      <c r="N110" s="304">
        <f t="shared" ca="1" si="46"/>
        <v>78.933528481000565</v>
      </c>
      <c r="P110" s="310">
        <f t="shared" ca="1" si="47"/>
        <v>10</v>
      </c>
      <c r="Q110" s="304">
        <f t="shared" ca="1" si="48"/>
        <v>1232.3039999999996</v>
      </c>
      <c r="R110" s="306">
        <f t="shared" ca="1" si="49"/>
        <v>0.60559330800074396</v>
      </c>
      <c r="S110" s="307">
        <f t="shared" ca="1" si="50"/>
        <v>8.361279262305894</v>
      </c>
      <c r="T110" s="304">
        <f t="shared" ca="1" si="30"/>
        <v>82.024149563220831</v>
      </c>
      <c r="U110" s="311">
        <f t="shared" ca="1" si="31"/>
        <v>0</v>
      </c>
      <c r="V110" s="306">
        <f t="shared" ca="1" si="32"/>
        <v>1.2159500111544679</v>
      </c>
      <c r="W110" s="304">
        <f t="shared" ca="1" si="33"/>
        <v>77.976202391390075</v>
      </c>
      <c r="Y110" s="314" t="str">
        <f t="shared" ca="1" si="51"/>
        <v/>
      </c>
      <c r="Z110" s="315" t="str">
        <f t="shared" ca="1" si="52"/>
        <v/>
      </c>
      <c r="AA110" s="316" t="str">
        <f t="shared" ca="1" si="53"/>
        <v/>
      </c>
      <c r="AC110" s="310" t="e">
        <f t="shared" ca="1" si="54"/>
        <v>#N/A</v>
      </c>
      <c r="AD110" s="323" t="e">
        <f t="shared" ca="1" si="55"/>
        <v>#N/A</v>
      </c>
      <c r="AE110" s="324">
        <f t="shared" ca="1" si="34"/>
        <v>74.151365691033703</v>
      </c>
      <c r="AG110" s="306">
        <f t="shared" ca="1" si="56"/>
        <v>128.59345573332712</v>
      </c>
      <c r="AH110" s="304">
        <f t="shared" ca="1" si="57"/>
        <v>138.22128688518697</v>
      </c>
    </row>
    <row r="111" spans="1:34" x14ac:dyDescent="0.3">
      <c r="A111" s="347">
        <f t="shared" ca="1" si="35"/>
        <v>0.01</v>
      </c>
      <c r="B111" s="304">
        <f t="shared" ca="1" si="36"/>
        <v>1.0700000000000007</v>
      </c>
      <c r="D111" s="306">
        <f t="shared" ca="1" si="37"/>
        <v>26.445427413247984</v>
      </c>
      <c r="E111" s="307">
        <f t="shared" ca="1" si="38"/>
        <v>125.40224292946985</v>
      </c>
      <c r="F111" s="304">
        <f t="shared" ca="1" si="39"/>
        <v>128.16038062837961</v>
      </c>
      <c r="G111" s="306">
        <f t="shared" ca="1" si="40"/>
        <v>27.839417713996895</v>
      </c>
      <c r="H111" s="307">
        <f t="shared" ca="1" si="41"/>
        <v>142.24144521280382</v>
      </c>
      <c r="I111" s="304">
        <f t="shared" ca="1" si="42"/>
        <v>144.94020116890096</v>
      </c>
      <c r="J111" s="306">
        <f t="shared" ca="1" si="43"/>
        <v>14.30380634768323</v>
      </c>
      <c r="K111" s="307">
        <f t="shared" ca="1" si="44"/>
        <v>75.567510031015274</v>
      </c>
      <c r="L111" s="304">
        <f t="shared" ca="1" si="29"/>
        <v>76.909345650054888</v>
      </c>
      <c r="M111" s="306">
        <f t="shared" ca="1" si="45"/>
        <v>1.3775200460853534</v>
      </c>
      <c r="N111" s="304">
        <f t="shared" ca="1" si="46"/>
        <v>78.926084835357415</v>
      </c>
      <c r="P111" s="310">
        <f t="shared" ca="1" si="47"/>
        <v>10</v>
      </c>
      <c r="Q111" s="304">
        <f t="shared" ca="1" si="48"/>
        <v>1229.1119999999999</v>
      </c>
      <c r="R111" s="306">
        <f t="shared" ca="1" si="49"/>
        <v>0.60402465786316573</v>
      </c>
      <c r="S111" s="307">
        <f t="shared" ca="1" si="50"/>
        <v>8.3552390157272622</v>
      </c>
      <c r="T111" s="304">
        <f t="shared" ca="1" si="30"/>
        <v>81.96489474428445</v>
      </c>
      <c r="U111" s="311">
        <f t="shared" ca="1" si="31"/>
        <v>0</v>
      </c>
      <c r="V111" s="306">
        <f t="shared" ca="1" si="32"/>
        <v>1.2157778248618138</v>
      </c>
      <c r="W111" s="304">
        <f t="shared" ca="1" si="33"/>
        <v>79.362296039085038</v>
      </c>
      <c r="Y111" s="314" t="str">
        <f t="shared" ca="1" si="51"/>
        <v/>
      </c>
      <c r="Z111" s="315" t="str">
        <f t="shared" ca="1" si="52"/>
        <v/>
      </c>
      <c r="AA111" s="316" t="str">
        <f t="shared" ca="1" si="53"/>
        <v/>
      </c>
      <c r="AC111" s="310" t="e">
        <f t="shared" ca="1" si="54"/>
        <v>#N/A</v>
      </c>
      <c r="AD111" s="323" t="e">
        <f t="shared" ca="1" si="55"/>
        <v>#N/A</v>
      </c>
      <c r="AE111" s="324">
        <f t="shared" ca="1" si="34"/>
        <v>75.567510031015274</v>
      </c>
      <c r="AG111" s="306">
        <f t="shared" ca="1" si="56"/>
        <v>128.14654676480757</v>
      </c>
      <c r="AH111" s="304">
        <f t="shared" ca="1" si="57"/>
        <v>137.77413134942037</v>
      </c>
    </row>
    <row r="112" spans="1:34" x14ac:dyDescent="0.3">
      <c r="A112" s="347">
        <f t="shared" ca="1" si="35"/>
        <v>0.01</v>
      </c>
      <c r="B112" s="304">
        <f t="shared" ca="1" si="36"/>
        <v>1.0800000000000007</v>
      </c>
      <c r="D112" s="306">
        <f t="shared" ca="1" si="37"/>
        <v>26.376768520937297</v>
      </c>
      <c r="E112" s="307">
        <f t="shared" ca="1" si="38"/>
        <v>124.95825244715422</v>
      </c>
      <c r="F112" s="304">
        <f t="shared" ca="1" si="39"/>
        <v>127.71178008411688</v>
      </c>
      <c r="G112" s="306">
        <f t="shared" ca="1" si="40"/>
        <v>28.103185399206268</v>
      </c>
      <c r="H112" s="307">
        <f t="shared" ca="1" si="41"/>
        <v>143.49102773727537</v>
      </c>
      <c r="I112" s="304">
        <f t="shared" ca="1" si="42"/>
        <v>146.21718117472273</v>
      </c>
      <c r="J112" s="306">
        <f t="shared" ca="1" si="43"/>
        <v>14.583519363249245</v>
      </c>
      <c r="K112" s="307">
        <f t="shared" ca="1" si="44"/>
        <v>76.996172395765669</v>
      </c>
      <c r="L112" s="304">
        <f t="shared" ca="1" si="29"/>
        <v>78.365104482905735</v>
      </c>
      <c r="M112" s="306">
        <f t="shared" ca="1" si="45"/>
        <v>1.377391179034704</v>
      </c>
      <c r="N112" s="304">
        <f t="shared" ca="1" si="46"/>
        <v>78.918701297236893</v>
      </c>
      <c r="P112" s="310">
        <f t="shared" ca="1" si="47"/>
        <v>10</v>
      </c>
      <c r="Q112" s="304">
        <f t="shared" ca="1" si="48"/>
        <v>1225.9199999999998</v>
      </c>
      <c r="R112" s="306">
        <f t="shared" ca="1" si="49"/>
        <v>0.60245600772558727</v>
      </c>
      <c r="S112" s="307">
        <f t="shared" ca="1" si="50"/>
        <v>8.3492144556500065</v>
      </c>
      <c r="T112" s="304">
        <f t="shared" ca="1" si="30"/>
        <v>81.905793809926564</v>
      </c>
      <c r="U112" s="311">
        <f t="shared" ca="1" si="31"/>
        <v>0</v>
      </c>
      <c r="V112" s="306">
        <f t="shared" ca="1" si="32"/>
        <v>1.2156041411399487</v>
      </c>
      <c r="W112" s="304">
        <f t="shared" ca="1" si="33"/>
        <v>80.755344070024776</v>
      </c>
      <c r="Y112" s="314" t="str">
        <f t="shared" ca="1" si="51"/>
        <v/>
      </c>
      <c r="Z112" s="315" t="str">
        <f t="shared" ca="1" si="52"/>
        <v/>
      </c>
      <c r="AA112" s="316" t="str">
        <f t="shared" ca="1" si="53"/>
        <v/>
      </c>
      <c r="AC112" s="310" t="e">
        <f t="shared" ca="1" si="54"/>
        <v>#N/A</v>
      </c>
      <c r="AD112" s="323" t="e">
        <f t="shared" ca="1" si="55"/>
        <v>#N/A</v>
      </c>
      <c r="AE112" s="324">
        <f t="shared" ca="1" si="34"/>
        <v>76.996172395765669</v>
      </c>
      <c r="AG112" s="306">
        <f t="shared" ca="1" si="56"/>
        <v>127.69787917281198</v>
      </c>
      <c r="AH112" s="304">
        <f t="shared" ca="1" si="57"/>
        <v>137.32521904321507</v>
      </c>
    </row>
    <row r="113" spans="1:34" x14ac:dyDescent="0.3">
      <c r="A113" s="347">
        <f t="shared" ca="1" si="35"/>
        <v>0.01</v>
      </c>
      <c r="B113" s="304">
        <f t="shared" ca="1" si="36"/>
        <v>1.0900000000000007</v>
      </c>
      <c r="D113" s="306">
        <f t="shared" ca="1" si="37"/>
        <v>26.307519520363449</v>
      </c>
      <c r="E113" s="307">
        <f t="shared" ca="1" si="38"/>
        <v>124.51260292109089</v>
      </c>
      <c r="F113" s="304">
        <f t="shared" ca="1" si="39"/>
        <v>127.26143905166072</v>
      </c>
      <c r="G113" s="306">
        <f t="shared" ca="1" si="40"/>
        <v>28.366260594409901</v>
      </c>
      <c r="H113" s="307">
        <f t="shared" ca="1" si="41"/>
        <v>144.7361537664863</v>
      </c>
      <c r="I113" s="304">
        <f t="shared" ca="1" si="42"/>
        <v>147.48965708559342</v>
      </c>
      <c r="J113" s="306">
        <f t="shared" ca="1" si="43"/>
        <v>14.865866593217326</v>
      </c>
      <c r="K113" s="307">
        <f t="shared" ca="1" si="44"/>
        <v>78.437308303284482</v>
      </c>
      <c r="L113" s="304">
        <f t="shared" ca="1" si="29"/>
        <v>79.833610236740739</v>
      </c>
      <c r="M113" s="306">
        <f t="shared" ca="1" si="45"/>
        <v>1.3772633396758196</v>
      </c>
      <c r="N113" s="304">
        <f t="shared" ca="1" si="46"/>
        <v>78.911376641517165</v>
      </c>
      <c r="P113" s="310">
        <f t="shared" ca="1" si="47"/>
        <v>10</v>
      </c>
      <c r="Q113" s="304">
        <f t="shared" ca="1" si="48"/>
        <v>1222.7279999999998</v>
      </c>
      <c r="R113" s="306">
        <f t="shared" ca="1" si="49"/>
        <v>0.60088735758800893</v>
      </c>
      <c r="S113" s="307">
        <f t="shared" ca="1" si="50"/>
        <v>8.3432055820741269</v>
      </c>
      <c r="T113" s="304">
        <f t="shared" ca="1" si="30"/>
        <v>81.846846760147187</v>
      </c>
      <c r="U113" s="311">
        <f t="shared" ca="1" si="31"/>
        <v>0</v>
      </c>
      <c r="V113" s="306">
        <f t="shared" ca="1" si="32"/>
        <v>1.2154289660399231</v>
      </c>
      <c r="W113" s="304">
        <f t="shared" ca="1" si="33"/>
        <v>82.155189285293162</v>
      </c>
      <c r="Y113" s="314" t="str">
        <f t="shared" ca="1" si="51"/>
        <v/>
      </c>
      <c r="Z113" s="315" t="str">
        <f t="shared" ca="1" si="52"/>
        <v/>
      </c>
      <c r="AA113" s="316" t="str">
        <f t="shared" ca="1" si="53"/>
        <v/>
      </c>
      <c r="AC113" s="310" t="e">
        <f t="shared" ca="1" si="54"/>
        <v>#N/A</v>
      </c>
      <c r="AD113" s="323" t="e">
        <f t="shared" ca="1" si="55"/>
        <v>#N/A</v>
      </c>
      <c r="AE113" s="324">
        <f t="shared" ca="1" si="34"/>
        <v>78.437308303284482</v>
      </c>
      <c r="AG113" s="306">
        <f t="shared" ca="1" si="56"/>
        <v>127.24747056661963</v>
      </c>
      <c r="AH113" s="304">
        <f t="shared" ca="1" si="57"/>
        <v>136.87456753835374</v>
      </c>
    </row>
    <row r="114" spans="1:34" x14ac:dyDescent="0.3">
      <c r="A114" s="347">
        <f t="shared" ca="1" si="35"/>
        <v>0.01</v>
      </c>
      <c r="B114" s="304">
        <f t="shared" ca="1" si="36"/>
        <v>1.1000000000000008</v>
      </c>
      <c r="D114" s="306">
        <f t="shared" ca="1" si="37"/>
        <v>26.237687413167194</v>
      </c>
      <c r="E114" s="307">
        <f t="shared" ca="1" si="38"/>
        <v>124.06531103262665</v>
      </c>
      <c r="F114" s="304">
        <f t="shared" ca="1" si="39"/>
        <v>126.80937521497953</v>
      </c>
      <c r="G114" s="306">
        <f t="shared" ca="1" si="40"/>
        <v>28.628637468541573</v>
      </c>
      <c r="H114" s="307">
        <f t="shared" ca="1" si="41"/>
        <v>145.97680687681256</v>
      </c>
      <c r="I114" s="304">
        <f t="shared" ca="1" si="42"/>
        <v>148.75761166829551</v>
      </c>
      <c r="J114" s="306">
        <f t="shared" ca="1" si="43"/>
        <v>15.150841083532084</v>
      </c>
      <c r="K114" s="307">
        <f t="shared" ca="1" si="44"/>
        <v>79.890873106500976</v>
      </c>
      <c r="L114" s="304">
        <f t="shared" ca="1" si="29"/>
        <v>81.314817784076013</v>
      </c>
      <c r="M114" s="306">
        <f t="shared" ca="1" si="45"/>
        <v>1.377136507239775</v>
      </c>
      <c r="N114" s="304">
        <f t="shared" ca="1" si="46"/>
        <v>78.904109678226447</v>
      </c>
      <c r="P114" s="310">
        <f t="shared" ca="1" si="47"/>
        <v>10</v>
      </c>
      <c r="Q114" s="304">
        <f t="shared" ca="1" si="48"/>
        <v>1219.5359999999998</v>
      </c>
      <c r="R114" s="306">
        <f t="shared" ca="1" si="49"/>
        <v>0.59931870745043059</v>
      </c>
      <c r="S114" s="307">
        <f t="shared" ca="1" si="50"/>
        <v>8.3372123949996233</v>
      </c>
      <c r="T114" s="304">
        <f t="shared" ca="1" si="30"/>
        <v>81.788053594946305</v>
      </c>
      <c r="U114" s="311">
        <f t="shared" ca="1" si="31"/>
        <v>0</v>
      </c>
      <c r="V114" s="306">
        <f t="shared" ca="1" si="32"/>
        <v>1.215252305635133</v>
      </c>
      <c r="W114" s="304">
        <f t="shared" ca="1" si="33"/>
        <v>83.561674535239987</v>
      </c>
      <c r="Y114" s="314" t="str">
        <f t="shared" ca="1" si="51"/>
        <v/>
      </c>
      <c r="Z114" s="315" t="str">
        <f t="shared" ca="1" si="52"/>
        <v/>
      </c>
      <c r="AA114" s="316" t="str">
        <f t="shared" ca="1" si="53"/>
        <v/>
      </c>
      <c r="AC114" s="310" t="e">
        <f t="shared" ca="1" si="54"/>
        <v>#N/A</v>
      </c>
      <c r="AD114" s="323" t="e">
        <f t="shared" ca="1" si="55"/>
        <v>#N/A</v>
      </c>
      <c r="AE114" s="324">
        <f t="shared" ca="1" si="34"/>
        <v>79.890873106500976</v>
      </c>
      <c r="AG114" s="306">
        <f t="shared" ca="1" si="56"/>
        <v>126.79533862099174</v>
      </c>
      <c r="AH114" s="304">
        <f t="shared" ca="1" si="57"/>
        <v>136.42219447316336</v>
      </c>
    </row>
    <row r="115" spans="1:34" x14ac:dyDescent="0.3">
      <c r="A115" s="347">
        <f t="shared" ca="1" si="35"/>
        <v>0.01</v>
      </c>
      <c r="B115" s="304">
        <f t="shared" ca="1" si="36"/>
        <v>1.1100000000000008</v>
      </c>
      <c r="D115" s="306">
        <f t="shared" ca="1" si="37"/>
        <v>26.182616214059408</v>
      </c>
      <c r="E115" s="307">
        <f t="shared" ca="1" si="38"/>
        <v>123.69459709475501</v>
      </c>
      <c r="F115" s="304">
        <f t="shared" ca="1" si="39"/>
        <v>126.43529073105539</v>
      </c>
      <c r="G115" s="306">
        <f t="shared" ca="1" si="40"/>
        <v>28.890463630682166</v>
      </c>
      <c r="H115" s="307">
        <f t="shared" ca="1" si="41"/>
        <v>147.21375284776011</v>
      </c>
      <c r="I115" s="304">
        <f t="shared" ca="1" si="42"/>
        <v>150.02182479998424</v>
      </c>
      <c r="J115" s="306">
        <f t="shared" ca="1" si="43"/>
        <v>15.438436589028203</v>
      </c>
      <c r="K115" s="307">
        <f t="shared" ca="1" si="44"/>
        <v>81.356825905123841</v>
      </c>
      <c r="L115" s="304">
        <f t="shared" ca="1" si="29"/>
        <v>82.808685810548127</v>
      </c>
      <c r="M115" s="306">
        <f t="shared" ca="1" si="45"/>
        <v>1.377010662216116</v>
      </c>
      <c r="N115" s="304">
        <f t="shared" ca="1" si="46"/>
        <v>78.896899289498066</v>
      </c>
      <c r="P115" s="310">
        <f t="shared" ca="1" si="47"/>
        <v>11</v>
      </c>
      <c r="Q115" s="304">
        <f t="shared" ca="1" si="48"/>
        <v>1217.0074999999999</v>
      </c>
      <c r="R115" s="306">
        <f t="shared" ca="1" si="49"/>
        <v>0.59807612227722673</v>
      </c>
      <c r="S115" s="307">
        <f t="shared" ca="1" si="50"/>
        <v>8.3312316337768504</v>
      </c>
      <c r="T115" s="304">
        <f t="shared" ca="1" si="30"/>
        <v>81.729382327350905</v>
      </c>
      <c r="U115" s="311">
        <f t="shared" ca="1" si="31"/>
        <v>0</v>
      </c>
      <c r="V115" s="306">
        <f t="shared" ca="1" si="32"/>
        <v>1.2150741655459047</v>
      </c>
      <c r="W115" s="304">
        <f t="shared" ca="1" si="33"/>
        <v>84.975545500769613</v>
      </c>
      <c r="Y115" s="314" t="str">
        <f t="shared" ca="1" si="51"/>
        <v/>
      </c>
      <c r="Z115" s="315" t="str">
        <f t="shared" ca="1" si="52"/>
        <v/>
      </c>
      <c r="AA115" s="316" t="str">
        <f t="shared" ca="1" si="53"/>
        <v/>
      </c>
      <c r="AC115" s="310" t="e">
        <f t="shared" ca="1" si="54"/>
        <v>#N/A</v>
      </c>
      <c r="AD115" s="323" t="e">
        <f t="shared" ca="1" si="55"/>
        <v>#N/A</v>
      </c>
      <c r="AE115" s="324">
        <f t="shared" ca="1" si="34"/>
        <v>81.356825905123841</v>
      </c>
      <c r="AG115" s="306">
        <f t="shared" ca="1" si="56"/>
        <v>126.42119437431499</v>
      </c>
      <c r="AH115" s="304">
        <f t="shared" ca="1" si="57"/>
        <v>136.04781085061822</v>
      </c>
    </row>
    <row r="116" spans="1:34" x14ac:dyDescent="0.3">
      <c r="A116" s="347">
        <f t="shared" ca="1" si="35"/>
        <v>0.01</v>
      </c>
      <c r="B116" s="304">
        <f t="shared" ca="1" si="36"/>
        <v>1.1200000000000008</v>
      </c>
      <c r="D116" s="306">
        <f t="shared" ca="1" si="37"/>
        <v>26.142364446497997</v>
      </c>
      <c r="E116" s="307">
        <f t="shared" ca="1" si="38"/>
        <v>123.40058559945149</v>
      </c>
      <c r="F116" s="304">
        <f t="shared" ca="1" si="39"/>
        <v>126.13931879133119</v>
      </c>
      <c r="G116" s="306">
        <f t="shared" ca="1" si="40"/>
        <v>29.151887275147146</v>
      </c>
      <c r="H116" s="307">
        <f t="shared" ca="1" si="41"/>
        <v>148.44775870375463</v>
      </c>
      <c r="I116" s="304">
        <f t="shared" ca="1" si="42"/>
        <v>151.28307769169373</v>
      </c>
      <c r="J116" s="306">
        <f t="shared" ca="1" si="43"/>
        <v>15.728648343557349</v>
      </c>
      <c r="K116" s="307">
        <f t="shared" ca="1" si="44"/>
        <v>82.835133462881416</v>
      </c>
      <c r="L116" s="304">
        <f t="shared" ca="1" si="29"/>
        <v>84.315180807068586</v>
      </c>
      <c r="M116" s="306">
        <f t="shared" ca="1" si="45"/>
        <v>1.3768857862891644</v>
      </c>
      <c r="N116" s="304">
        <f t="shared" ca="1" si="46"/>
        <v>78.889744425920952</v>
      </c>
      <c r="P116" s="310">
        <f t="shared" ca="1" si="47"/>
        <v>11</v>
      </c>
      <c r="Q116" s="304">
        <f t="shared" ca="1" si="48"/>
        <v>1215.1424999999999</v>
      </c>
      <c r="R116" s="306">
        <f t="shared" ca="1" si="49"/>
        <v>0.59715960206839724</v>
      </c>
      <c r="S116" s="307">
        <f t="shared" ca="1" si="50"/>
        <v>8.3252600377561663</v>
      </c>
      <c r="T116" s="304">
        <f t="shared" ca="1" si="30"/>
        <v>81.670800970388001</v>
      </c>
      <c r="U116" s="311">
        <f t="shared" ca="1" si="31"/>
        <v>0</v>
      </c>
      <c r="V116" s="306">
        <f t="shared" ca="1" si="32"/>
        <v>1.2148945504638484</v>
      </c>
      <c r="W116" s="304">
        <f t="shared" ca="1" si="33"/>
        <v>86.397578989877729</v>
      </c>
      <c r="Y116" s="314" t="str">
        <f t="shared" ca="1" si="51"/>
        <v/>
      </c>
      <c r="Z116" s="315" t="str">
        <f t="shared" ca="1" si="52"/>
        <v/>
      </c>
      <c r="AA116" s="316" t="str">
        <f t="shared" ca="1" si="53"/>
        <v/>
      </c>
      <c r="AC116" s="310" t="e">
        <f t="shared" ca="1" si="54"/>
        <v>#N/A</v>
      </c>
      <c r="AD116" s="323" t="e">
        <f t="shared" ca="1" si="55"/>
        <v>#N/A</v>
      </c>
      <c r="AE116" s="324">
        <f t="shared" ca="1" si="34"/>
        <v>82.835133462881416</v>
      </c>
      <c r="AG116" s="306">
        <f t="shared" ca="1" si="56"/>
        <v>126.12517121555564</v>
      </c>
      <c r="AH116" s="304">
        <f t="shared" ca="1" si="57"/>
        <v>135.75155002651834</v>
      </c>
    </row>
    <row r="117" spans="1:34" x14ac:dyDescent="0.3">
      <c r="A117" s="347">
        <f t="shared" ca="1" si="35"/>
        <v>0.01</v>
      </c>
      <c r="B117" s="304">
        <f t="shared" ca="1" si="36"/>
        <v>1.1300000000000008</v>
      </c>
      <c r="D117" s="306">
        <f t="shared" ca="1" si="37"/>
        <v>26.101610506775756</v>
      </c>
      <c r="E117" s="307">
        <f t="shared" ca="1" si="38"/>
        <v>123.10508510986017</v>
      </c>
      <c r="F117" s="304">
        <f t="shared" ca="1" si="39"/>
        <v>125.8417897637877</v>
      </c>
      <c r="G117" s="306">
        <f t="shared" ca="1" si="40"/>
        <v>29.412903380214903</v>
      </c>
      <c r="H117" s="307">
        <f t="shared" ca="1" si="41"/>
        <v>149.67880955485325</v>
      </c>
      <c r="I117" s="304">
        <f t="shared" ca="1" si="42"/>
        <v>152.54135476981932</v>
      </c>
      <c r="J117" s="306">
        <f t="shared" ca="1" si="43"/>
        <v>16.021472296834158</v>
      </c>
      <c r="K117" s="307">
        <f t="shared" ca="1" si="44"/>
        <v>84.325766304174451</v>
      </c>
      <c r="L117" s="304">
        <f t="shared" ca="1" si="29"/>
        <v>85.834273092654939</v>
      </c>
      <c r="M117" s="306">
        <f t="shared" ca="1" si="45"/>
        <v>1.376761861629723</v>
      </c>
      <c r="N117" s="304">
        <f t="shared" ca="1" si="46"/>
        <v>78.882644065957365</v>
      </c>
      <c r="P117" s="310">
        <f t="shared" ca="1" si="47"/>
        <v>11</v>
      </c>
      <c r="Q117" s="304">
        <f t="shared" ca="1" si="48"/>
        <v>1213.2774999999999</v>
      </c>
      <c r="R117" s="306">
        <f t="shared" ca="1" si="49"/>
        <v>0.59624308185956776</v>
      </c>
      <c r="S117" s="307">
        <f t="shared" ca="1" si="50"/>
        <v>8.319297606937571</v>
      </c>
      <c r="T117" s="304">
        <f t="shared" ca="1" si="30"/>
        <v>81.612309524057579</v>
      </c>
      <c r="U117" s="311">
        <f t="shared" ca="1" si="31"/>
        <v>0</v>
      </c>
      <c r="V117" s="306">
        <f t="shared" ca="1" si="32"/>
        <v>1.2147134646266375</v>
      </c>
      <c r="W117" s="304">
        <f t="shared" ca="1" si="33"/>
        <v>87.827663743580189</v>
      </c>
      <c r="Y117" s="314" t="str">
        <f t="shared" ca="1" si="51"/>
        <v/>
      </c>
      <c r="Z117" s="315" t="str">
        <f t="shared" ca="1" si="52"/>
        <v/>
      </c>
      <c r="AA117" s="316" t="str">
        <f t="shared" ca="1" si="53"/>
        <v/>
      </c>
      <c r="AC117" s="310" t="e">
        <f t="shared" ca="1" si="54"/>
        <v>#N/A</v>
      </c>
      <c r="AD117" s="323" t="e">
        <f t="shared" ca="1" si="55"/>
        <v>#N/A</v>
      </c>
      <c r="AE117" s="324">
        <f t="shared" ca="1" si="34"/>
        <v>84.325766304174451</v>
      </c>
      <c r="AG117" s="306">
        <f t="shared" ca="1" si="56"/>
        <v>125.82759068122911</v>
      </c>
      <c r="AH117" s="304">
        <f t="shared" ca="1" si="57"/>
        <v>135.45373350634821</v>
      </c>
    </row>
    <row r="118" spans="1:34" x14ac:dyDescent="0.3">
      <c r="A118" s="347">
        <f t="shared" ca="1" si="35"/>
        <v>0.01</v>
      </c>
      <c r="B118" s="304">
        <f t="shared" ca="1" si="36"/>
        <v>1.1400000000000008</v>
      </c>
      <c r="D118" s="306">
        <f t="shared" ca="1" si="37"/>
        <v>26.06035917404505</v>
      </c>
      <c r="E118" s="307">
        <f t="shared" ca="1" si="38"/>
        <v>122.80810598292797</v>
      </c>
      <c r="F118" s="304">
        <f t="shared" ca="1" si="39"/>
        <v>125.54271470457496</v>
      </c>
      <c r="G118" s="306">
        <f t="shared" ca="1" si="40"/>
        <v>29.673506971955355</v>
      </c>
      <c r="H118" s="307">
        <f t="shared" ca="1" si="41"/>
        <v>150.90689061468254</v>
      </c>
      <c r="I118" s="304">
        <f t="shared" ca="1" si="42"/>
        <v>153.79664057126359</v>
      </c>
      <c r="J118" s="306">
        <f t="shared" ca="1" si="43"/>
        <v>16.31690434859501</v>
      </c>
      <c r="K118" s="307">
        <f t="shared" ca="1" si="44"/>
        <v>85.828694805022124</v>
      </c>
      <c r="L118" s="304">
        <f t="shared" ca="1" si="29"/>
        <v>87.365932831137513</v>
      </c>
      <c r="M118" s="306">
        <f t="shared" ca="1" si="45"/>
        <v>1.3766388708778501</v>
      </c>
      <c r="N118" s="304">
        <f t="shared" ca="1" si="46"/>
        <v>78.875597214955903</v>
      </c>
      <c r="P118" s="310">
        <f t="shared" ca="1" si="47"/>
        <v>11</v>
      </c>
      <c r="Q118" s="304">
        <f t="shared" ca="1" si="48"/>
        <v>1211.4124999999999</v>
      </c>
      <c r="R118" s="306">
        <f t="shared" ca="1" si="49"/>
        <v>0.59532656165073827</v>
      </c>
      <c r="S118" s="307">
        <f t="shared" ca="1" si="50"/>
        <v>8.3133443413210628</v>
      </c>
      <c r="T118" s="304">
        <f t="shared" ca="1" si="30"/>
        <v>81.553907988359626</v>
      </c>
      <c r="U118" s="311">
        <f t="shared" ca="1" si="31"/>
        <v>0</v>
      </c>
      <c r="V118" s="306">
        <f t="shared" ca="1" si="32"/>
        <v>1.214530912293069</v>
      </c>
      <c r="W118" s="304">
        <f t="shared" ca="1" si="33"/>
        <v>89.265688259518029</v>
      </c>
      <c r="Y118" s="314" t="str">
        <f t="shared" ca="1" si="51"/>
        <v/>
      </c>
      <c r="Z118" s="315" t="str">
        <f t="shared" ca="1" si="52"/>
        <v/>
      </c>
      <c r="AA118" s="316" t="str">
        <f t="shared" ca="1" si="53"/>
        <v/>
      </c>
      <c r="AC118" s="310" t="e">
        <f t="shared" ca="1" si="54"/>
        <v>#N/A</v>
      </c>
      <c r="AD118" s="323" t="e">
        <f t="shared" ca="1" si="55"/>
        <v>#N/A</v>
      </c>
      <c r="AE118" s="324">
        <f t="shared" ca="1" si="34"/>
        <v>85.828694805022124</v>
      </c>
      <c r="AG118" s="306">
        <f t="shared" ca="1" si="56"/>
        <v>125.52846382245011</v>
      </c>
      <c r="AH118" s="304">
        <f t="shared" ca="1" si="57"/>
        <v>135.15437231099611</v>
      </c>
    </row>
    <row r="119" spans="1:34" x14ac:dyDescent="0.3">
      <c r="A119" s="347">
        <f t="shared" ca="1" si="35"/>
        <v>0.01</v>
      </c>
      <c r="B119" s="304">
        <f t="shared" ca="1" si="36"/>
        <v>1.1500000000000008</v>
      </c>
      <c r="D119" s="306">
        <f t="shared" ca="1" si="37"/>
        <v>26.018615171886672</v>
      </c>
      <c r="E119" s="307">
        <f t="shared" ca="1" si="38"/>
        <v>122.50965865714085</v>
      </c>
      <c r="F119" s="304">
        <f t="shared" ca="1" si="39"/>
        <v>125.2421047401867</v>
      </c>
      <c r="G119" s="306">
        <f t="shared" ca="1" si="40"/>
        <v>29.933693123674221</v>
      </c>
      <c r="H119" s="307">
        <f t="shared" ca="1" si="41"/>
        <v>152.13198720125393</v>
      </c>
      <c r="I119" s="304">
        <f t="shared" ca="1" si="42"/>
        <v>155.04891974414008</v>
      </c>
      <c r="J119" s="306">
        <f t="shared" ca="1" si="43"/>
        <v>16.614940349073159</v>
      </c>
      <c r="K119" s="307">
        <f t="shared" ca="1" si="44"/>
        <v>87.343889194101806</v>
      </c>
      <c r="L119" s="304">
        <f t="shared" ca="1" si="29"/>
        <v>88.910130032267944</v>
      </c>
      <c r="M119" s="306">
        <f t="shared" ca="1" si="45"/>
        <v>1.376516797126391</v>
      </c>
      <c r="N119" s="304">
        <f t="shared" ca="1" si="46"/>
        <v>78.868602904207961</v>
      </c>
      <c r="P119" s="310">
        <f t="shared" ca="1" si="47"/>
        <v>11</v>
      </c>
      <c r="Q119" s="304">
        <f t="shared" ca="1" si="48"/>
        <v>1209.5474999999999</v>
      </c>
      <c r="R119" s="306">
        <f t="shared" ca="1" si="49"/>
        <v>0.59441004144190879</v>
      </c>
      <c r="S119" s="307">
        <f t="shared" ca="1" si="50"/>
        <v>8.3074002409066434</v>
      </c>
      <c r="T119" s="304">
        <f t="shared" ca="1" si="30"/>
        <v>81.495596363294183</v>
      </c>
      <c r="U119" s="311">
        <f t="shared" ca="1" si="31"/>
        <v>0</v>
      </c>
      <c r="V119" s="306">
        <f t="shared" ca="1" si="32"/>
        <v>1.2143468977428786</v>
      </c>
      <c r="W119" s="304">
        <f t="shared" ca="1" si="33"/>
        <v>90.71154080335883</v>
      </c>
      <c r="Y119" s="314" t="str">
        <f t="shared" ca="1" si="51"/>
        <v/>
      </c>
      <c r="Z119" s="315" t="str">
        <f t="shared" ca="1" si="52"/>
        <v/>
      </c>
      <c r="AA119" s="316" t="str">
        <f t="shared" ca="1" si="53"/>
        <v/>
      </c>
      <c r="AC119" s="310" t="e">
        <f t="shared" ca="1" si="54"/>
        <v>#N/A</v>
      </c>
      <c r="AD119" s="323" t="e">
        <f t="shared" ca="1" si="55"/>
        <v>#N/A</v>
      </c>
      <c r="AE119" s="324">
        <f t="shared" ca="1" si="34"/>
        <v>87.343889194101806</v>
      </c>
      <c r="AG119" s="306">
        <f t="shared" ca="1" si="56"/>
        <v>125.22780176069365</v>
      </c>
      <c r="AH119" s="304">
        <f t="shared" ca="1" si="57"/>
        <v>134.85347753248709</v>
      </c>
    </row>
    <row r="120" spans="1:34" x14ac:dyDescent="0.3">
      <c r="A120" s="347">
        <f t="shared" ca="1" si="35"/>
        <v>0.01</v>
      </c>
      <c r="B120" s="304">
        <f t="shared" ca="1" si="36"/>
        <v>1.1600000000000008</v>
      </c>
      <c r="D120" s="306">
        <f t="shared" ca="1" si="37"/>
        <v>25.97638317062507</v>
      </c>
      <c r="E120" s="307">
        <f t="shared" ca="1" si="38"/>
        <v>122.20975365087637</v>
      </c>
      <c r="F120" s="304">
        <f t="shared" ca="1" si="39"/>
        <v>124.93997106624853</v>
      </c>
      <c r="G120" s="306">
        <f t="shared" ca="1" si="40"/>
        <v>30.193456955380473</v>
      </c>
      <c r="H120" s="307">
        <f t="shared" ca="1" si="41"/>
        <v>153.35408473776269</v>
      </c>
      <c r="I120" s="304">
        <f t="shared" ca="1" si="42"/>
        <v>156.29817704846499</v>
      </c>
      <c r="J120" s="306">
        <f t="shared" ca="1" si="43"/>
        <v>16.915576099468431</v>
      </c>
      <c r="K120" s="307">
        <f t="shared" ca="1" si="44"/>
        <v>88.871319553796894</v>
      </c>
      <c r="L120" s="304">
        <f t="shared" ca="1" si="29"/>
        <v>90.466834552834825</v>
      </c>
      <c r="M120" s="306">
        <f t="shared" ca="1" si="45"/>
        <v>1.3763956239052293</v>
      </c>
      <c r="N120" s="304">
        <f t="shared" ca="1" si="46"/>
        <v>78.861660190045399</v>
      </c>
      <c r="P120" s="310">
        <f t="shared" ca="1" si="47"/>
        <v>11</v>
      </c>
      <c r="Q120" s="304">
        <f t="shared" ca="1" si="48"/>
        <v>1207.6824999999999</v>
      </c>
      <c r="R120" s="306">
        <f t="shared" ca="1" si="49"/>
        <v>0.5934935212330793</v>
      </c>
      <c r="S120" s="307">
        <f t="shared" ca="1" si="50"/>
        <v>8.3014653056943128</v>
      </c>
      <c r="T120" s="304">
        <f t="shared" ca="1" si="30"/>
        <v>81.437374648861208</v>
      </c>
      <c r="U120" s="311">
        <f t="shared" ca="1" si="31"/>
        <v>0</v>
      </c>
      <c r="V120" s="306">
        <f t="shared" ca="1" si="32"/>
        <v>1.2141614252765478</v>
      </c>
      <c r="W120" s="304">
        <f t="shared" ca="1" si="33"/>
        <v>92.165109420193076</v>
      </c>
      <c r="Y120" s="314" t="str">
        <f t="shared" ca="1" si="51"/>
        <v/>
      </c>
      <c r="Z120" s="315" t="str">
        <f t="shared" ca="1" si="52"/>
        <v/>
      </c>
      <c r="AA120" s="316" t="str">
        <f t="shared" ca="1" si="53"/>
        <v/>
      </c>
      <c r="AC120" s="310" t="e">
        <f t="shared" ca="1" si="54"/>
        <v>#N/A</v>
      </c>
      <c r="AD120" s="323" t="e">
        <f t="shared" ca="1" si="55"/>
        <v>#N/A</v>
      </c>
      <c r="AE120" s="324">
        <f t="shared" ca="1" si="34"/>
        <v>88.871319553796894</v>
      </c>
      <c r="AG120" s="306">
        <f t="shared" ca="1" si="56"/>
        <v>124.925615686581</v>
      </c>
      <c r="AH120" s="304">
        <f t="shared" ca="1" si="57"/>
        <v>134.55106033274214</v>
      </c>
    </row>
    <row r="121" spans="1:34" x14ac:dyDescent="0.3">
      <c r="A121" s="347">
        <f t="shared" ca="1" si="35"/>
        <v>0.01</v>
      </c>
      <c r="B121" s="304">
        <f t="shared" ca="1" si="36"/>
        <v>1.1700000000000008</v>
      </c>
      <c r="D121" s="306">
        <f t="shared" ca="1" si="37"/>
        <v>25.933667789530219</v>
      </c>
      <c r="E121" s="307">
        <f t="shared" ca="1" si="38"/>
        <v>121.90840156076919</v>
      </c>
      <c r="F121" s="304">
        <f t="shared" ca="1" si="39"/>
        <v>124.63632494629914</v>
      </c>
      <c r="G121" s="306">
        <f t="shared" ca="1" si="40"/>
        <v>30.452793633275775</v>
      </c>
      <c r="H121" s="307">
        <f t="shared" ca="1" si="41"/>
        <v>154.5731687533704</v>
      </c>
      <c r="I121" s="304">
        <f t="shared" ca="1" si="42"/>
        <v>157.54439735683653</v>
      </c>
      <c r="J121" s="306">
        <f t="shared" ca="1" si="43"/>
        <v>17.218807352411712</v>
      </c>
      <c r="K121" s="307">
        <f t="shared" ca="1" si="44"/>
        <v>90.410955821252557</v>
      </c>
      <c r="L121" s="304">
        <f t="shared" ca="1" si="29"/>
        <v>92.036016097786131</v>
      </c>
      <c r="M121" s="306">
        <f t="shared" ca="1" si="45"/>
        <v>1.3762753351662185</v>
      </c>
      <c r="N121" s="304">
        <f t="shared" ca="1" si="46"/>
        <v>78.85476815297713</v>
      </c>
      <c r="P121" s="310">
        <f t="shared" ca="1" si="47"/>
        <v>11</v>
      </c>
      <c r="Q121" s="304">
        <f t="shared" ca="1" si="48"/>
        <v>1205.8174999999999</v>
      </c>
      <c r="R121" s="306">
        <f t="shared" ca="1" si="49"/>
        <v>0.59257700102424982</v>
      </c>
      <c r="S121" s="307">
        <f t="shared" ca="1" si="50"/>
        <v>8.2955395356840711</v>
      </c>
      <c r="T121" s="304">
        <f t="shared" ca="1" si="30"/>
        <v>81.379242845060745</v>
      </c>
      <c r="U121" s="311">
        <f t="shared" ca="1" si="31"/>
        <v>0</v>
      </c>
      <c r="V121" s="306">
        <f t="shared" ca="1" si="32"/>
        <v>1.2139744992151151</v>
      </c>
      <c r="W121" s="304">
        <f t="shared" ca="1" si="33"/>
        <v>93.626281945924319</v>
      </c>
      <c r="Y121" s="314" t="str">
        <f t="shared" ca="1" si="51"/>
        <v/>
      </c>
      <c r="Z121" s="315" t="str">
        <f t="shared" ca="1" si="52"/>
        <v/>
      </c>
      <c r="AA121" s="316" t="str">
        <f t="shared" ca="1" si="53"/>
        <v/>
      </c>
      <c r="AC121" s="310" t="e">
        <f t="shared" ca="1" si="54"/>
        <v>#N/A</v>
      </c>
      <c r="AD121" s="323" t="e">
        <f t="shared" ca="1" si="55"/>
        <v>#N/A</v>
      </c>
      <c r="AE121" s="324">
        <f t="shared" ca="1" si="34"/>
        <v>90.410955821252557</v>
      </c>
      <c r="AG121" s="306">
        <f t="shared" ca="1" si="56"/>
        <v>124.62191685865866</v>
      </c>
      <c r="AH121" s="304">
        <f t="shared" ca="1" si="57"/>
        <v>134.24713194233149</v>
      </c>
    </row>
    <row r="122" spans="1:34" x14ac:dyDescent="0.3">
      <c r="A122" s="347">
        <f t="shared" ca="1" si="35"/>
        <v>0.01</v>
      </c>
      <c r="B122" s="304">
        <f t="shared" ca="1" si="36"/>
        <v>1.1800000000000008</v>
      </c>
      <c r="D122" s="306">
        <f t="shared" ca="1" si="37"/>
        <v>25.890473598911981</v>
      </c>
      <c r="E122" s="307">
        <f t="shared" ca="1" si="38"/>
        <v>121.6056130600887</v>
      </c>
      <c r="F122" s="304">
        <f t="shared" ca="1" si="39"/>
        <v>124.3311777105645</v>
      </c>
      <c r="G122" s="306">
        <f t="shared" ca="1" si="40"/>
        <v>30.711698369264894</v>
      </c>
      <c r="H122" s="307">
        <f t="shared" ca="1" si="41"/>
        <v>155.78922488397129</v>
      </c>
      <c r="I122" s="304">
        <f t="shared" ca="1" si="42"/>
        <v>158.78756565510187</v>
      </c>
      <c r="J122" s="306">
        <f t="shared" ca="1" si="43"/>
        <v>17.524629812424415</v>
      </c>
      <c r="K122" s="307">
        <f t="shared" ca="1" si="44"/>
        <v>91.962767789439269</v>
      </c>
      <c r="L122" s="304">
        <f t="shared" ca="1" si="29"/>
        <v>93.617644221358418</v>
      </c>
      <c r="M122" s="306">
        <f t="shared" ca="1" si="45"/>
        <v>1.3761559152687592</v>
      </c>
      <c r="N122" s="304">
        <f t="shared" ca="1" si="46"/>
        <v>78.847925896862833</v>
      </c>
      <c r="P122" s="310">
        <f t="shared" ca="1" si="47"/>
        <v>11</v>
      </c>
      <c r="Q122" s="304">
        <f t="shared" ca="1" si="48"/>
        <v>1203.9524999999999</v>
      </c>
      <c r="R122" s="306">
        <f t="shared" ca="1" si="49"/>
        <v>0.59166048081542044</v>
      </c>
      <c r="S122" s="307">
        <f t="shared" ca="1" si="50"/>
        <v>8.2896229308759164</v>
      </c>
      <c r="T122" s="304">
        <f t="shared" ca="1" si="30"/>
        <v>81.321200951892749</v>
      </c>
      <c r="U122" s="311">
        <f t="shared" ca="1" si="31"/>
        <v>0</v>
      </c>
      <c r="V122" s="306">
        <f t="shared" ca="1" si="32"/>
        <v>1.2137861238999841</v>
      </c>
      <c r="W122" s="304">
        <f t="shared" ca="1" si="33"/>
        <v>95.094946018650447</v>
      </c>
      <c r="Y122" s="314" t="str">
        <f t="shared" ca="1" si="51"/>
        <v/>
      </c>
      <c r="Z122" s="315" t="str">
        <f t="shared" ca="1" si="52"/>
        <v/>
      </c>
      <c r="AA122" s="316" t="str">
        <f t="shared" ca="1" si="53"/>
        <v/>
      </c>
      <c r="AC122" s="310" t="e">
        <f t="shared" ca="1" si="54"/>
        <v>#N/A</v>
      </c>
      <c r="AD122" s="323" t="e">
        <f t="shared" ca="1" si="55"/>
        <v>#N/A</v>
      </c>
      <c r="AE122" s="324">
        <f t="shared" ca="1" si="34"/>
        <v>91.962767789439269</v>
      </c>
      <c r="AG122" s="306">
        <f t="shared" ca="1" si="56"/>
        <v>124.31671660217056</v>
      </c>
      <c r="AH122" s="304">
        <f t="shared" ca="1" si="57"/>
        <v>133.94170365922227</v>
      </c>
    </row>
    <row r="123" spans="1:34" x14ac:dyDescent="0.3">
      <c r="A123" s="347">
        <f t="shared" ca="1" si="35"/>
        <v>0.01</v>
      </c>
      <c r="B123" s="304">
        <f t="shared" ca="1" si="36"/>
        <v>1.1900000000000008</v>
      </c>
      <c r="D123" s="306">
        <f t="shared" ca="1" si="37"/>
        <v>25.846805122112439</v>
      </c>
      <c r="E123" s="307">
        <f t="shared" ca="1" si="38"/>
        <v>121.30139889712777</v>
      </c>
      <c r="F123" s="304">
        <f t="shared" ca="1" si="39"/>
        <v>124.02454075472551</v>
      </c>
      <c r="G123" s="306">
        <f t="shared" ca="1" si="40"/>
        <v>30.97016642048602</v>
      </c>
      <c r="H123" s="307">
        <f t="shared" ca="1" si="41"/>
        <v>157.00223887294257</v>
      </c>
      <c r="I123" s="304">
        <f t="shared" ca="1" si="42"/>
        <v>160.02766704301203</v>
      </c>
      <c r="J123" s="306">
        <f t="shared" ca="1" si="43"/>
        <v>17.83303913637317</v>
      </c>
      <c r="K123" s="307">
        <f t="shared" ca="1" si="44"/>
        <v>93.526725108223843</v>
      </c>
      <c r="L123" s="304">
        <f t="shared" ca="1" si="29"/>
        <v>95.21168832821256</v>
      </c>
      <c r="M123" s="306">
        <f t="shared" ca="1" si="45"/>
        <v>1.3760373489659892</v>
      </c>
      <c r="N123" s="304">
        <f t="shared" ca="1" si="46"/>
        <v>78.841132548121635</v>
      </c>
      <c r="P123" s="310">
        <f t="shared" ca="1" si="47"/>
        <v>11</v>
      </c>
      <c r="Q123" s="304">
        <f t="shared" ca="1" si="48"/>
        <v>1202.0874999999999</v>
      </c>
      <c r="R123" s="306">
        <f t="shared" ca="1" si="49"/>
        <v>0.59074396060659096</v>
      </c>
      <c r="S123" s="307">
        <f t="shared" ca="1" si="50"/>
        <v>8.2837154912698505</v>
      </c>
      <c r="T123" s="304">
        <f t="shared" ca="1" si="30"/>
        <v>81.263248969357235</v>
      </c>
      <c r="U123" s="311">
        <f t="shared" ca="1" si="31"/>
        <v>0</v>
      </c>
      <c r="V123" s="306">
        <f t="shared" ca="1" si="32"/>
        <v>1.2135963036927304</v>
      </c>
      <c r="W123" s="304">
        <f t="shared" ca="1" si="33"/>
        <v>96.570989090034644</v>
      </c>
      <c r="Y123" s="314" t="str">
        <f t="shared" ca="1" si="51"/>
        <v/>
      </c>
      <c r="Z123" s="315" t="str">
        <f t="shared" ca="1" si="52"/>
        <v/>
      </c>
      <c r="AA123" s="316" t="str">
        <f t="shared" ca="1" si="53"/>
        <v/>
      </c>
      <c r="AC123" s="310" t="e">
        <f t="shared" ca="1" si="54"/>
        <v>#N/A</v>
      </c>
      <c r="AD123" s="323" t="e">
        <f t="shared" ca="1" si="55"/>
        <v>#N/A</v>
      </c>
      <c r="AE123" s="324">
        <f t="shared" ca="1" si="34"/>
        <v>93.526725108223843</v>
      </c>
      <c r="AG123" s="306">
        <f t="shared" ca="1" si="56"/>
        <v>124.01002630782349</v>
      </c>
      <c r="AH123" s="304">
        <f t="shared" ca="1" si="57"/>
        <v>133.63478684752042</v>
      </c>
    </row>
    <row r="124" spans="1:34" x14ac:dyDescent="0.3">
      <c r="A124" s="347">
        <f t="shared" ca="1" si="35"/>
        <v>0.01</v>
      </c>
      <c r="B124" s="304">
        <f t="shared" ca="1" si="36"/>
        <v>1.2000000000000008</v>
      </c>
      <c r="D124" s="306">
        <f t="shared" ca="1" si="37"/>
        <v>25.802666837401581</v>
      </c>
      <c r="E124" s="307">
        <f t="shared" ca="1" si="38"/>
        <v>120.99576989360267</v>
      </c>
      <c r="F124" s="304">
        <f t="shared" ca="1" si="39"/>
        <v>123.71642553867935</v>
      </c>
      <c r="G124" s="306">
        <f t="shared" ca="1" si="40"/>
        <v>31.228193088860035</v>
      </c>
      <c r="H124" s="307">
        <f t="shared" ca="1" si="41"/>
        <v>158.21219657187859</v>
      </c>
      <c r="I124" s="304">
        <f t="shared" ca="1" si="42"/>
        <v>161.26468673486417</v>
      </c>
      <c r="J124" s="306">
        <f t="shared" ca="1" si="43"/>
        <v>18.1440309339199</v>
      </c>
      <c r="K124" s="307">
        <f t="shared" ca="1" si="44"/>
        <v>95.102797285447949</v>
      </c>
      <c r="L124" s="304">
        <f t="shared" ca="1" si="29"/>
        <v>96.818117674576015</v>
      </c>
      <c r="M124" s="306">
        <f t="shared" ca="1" si="45"/>
        <v>1.3759196213915568</v>
      </c>
      <c r="N124" s="304">
        <f t="shared" ca="1" si="46"/>
        <v>78.834387254974345</v>
      </c>
      <c r="P124" s="310">
        <f t="shared" ca="1" si="47"/>
        <v>11</v>
      </c>
      <c r="Q124" s="304">
        <f t="shared" ca="1" si="48"/>
        <v>1200.2224999999999</v>
      </c>
      <c r="R124" s="306">
        <f t="shared" ca="1" si="49"/>
        <v>0.58982744039776147</v>
      </c>
      <c r="S124" s="307">
        <f t="shared" ca="1" si="50"/>
        <v>8.2778172168658735</v>
      </c>
      <c r="T124" s="304">
        <f t="shared" ca="1" si="30"/>
        <v>81.205386897454218</v>
      </c>
      <c r="U124" s="311">
        <f t="shared" ca="1" si="31"/>
        <v>0</v>
      </c>
      <c r="V124" s="306">
        <f t="shared" ca="1" si="32"/>
        <v>1.2134050429749075</v>
      </c>
      <c r="W124" s="304">
        <f t="shared" ca="1" si="33"/>
        <v>98.054298436663757</v>
      </c>
      <c r="Y124" s="314" t="str">
        <f t="shared" ca="1" si="51"/>
        <v/>
      </c>
      <c r="Z124" s="315" t="str">
        <f t="shared" ca="1" si="52"/>
        <v/>
      </c>
      <c r="AA124" s="316" t="str">
        <f t="shared" ca="1" si="53"/>
        <v/>
      </c>
      <c r="AC124" s="310" t="e">
        <f t="shared" ca="1" si="54"/>
        <v>#N/A</v>
      </c>
      <c r="AD124" s="323" t="e">
        <f t="shared" ca="1" si="55"/>
        <v>#N/A</v>
      </c>
      <c r="AE124" s="324">
        <f t="shared" ca="1" si="34"/>
        <v>95.102797285447949</v>
      </c>
      <c r="AG124" s="306">
        <f t="shared" ca="1" si="56"/>
        <v>123.70185743054678</v>
      </c>
      <c r="AH124" s="304">
        <f t="shared" ca="1" si="57"/>
        <v>133.32639293620778</v>
      </c>
    </row>
    <row r="125" spans="1:34" x14ac:dyDescent="0.3">
      <c r="A125" s="347">
        <f t="shared" ca="1" si="35"/>
        <v>0.01</v>
      </c>
      <c r="B125" s="304">
        <f t="shared" ca="1" si="36"/>
        <v>1.2100000000000009</v>
      </c>
      <c r="D125" s="306">
        <f t="shared" ca="1" si="37"/>
        <v>25.732447662411449</v>
      </c>
      <c r="E125" s="307">
        <f t="shared" ca="1" si="38"/>
        <v>120.55896038962058</v>
      </c>
      <c r="F125" s="304">
        <f t="shared" ca="1" si="39"/>
        <v>123.27457885924757</v>
      </c>
      <c r="G125" s="306">
        <f t="shared" ca="1" si="40"/>
        <v>31.485517565484148</v>
      </c>
      <c r="H125" s="307">
        <f t="shared" ca="1" si="41"/>
        <v>159.41778617577481</v>
      </c>
      <c r="I125" s="304">
        <f t="shared" ca="1" si="42"/>
        <v>162.49728725597689</v>
      </c>
      <c r="J125" s="306">
        <f t="shared" ca="1" si="43"/>
        <v>18.457599487191622</v>
      </c>
      <c r="K125" s="307">
        <f t="shared" ca="1" si="44"/>
        <v>96.690947199186212</v>
      </c>
      <c r="L125" s="304">
        <f t="shared" ca="1" si="29"/>
        <v>98.436894755500049</v>
      </c>
      <c r="M125" s="306">
        <f t="shared" ca="1" si="45"/>
        <v>1.3758027170952962</v>
      </c>
      <c r="N125" s="304">
        <f t="shared" ca="1" si="46"/>
        <v>78.827689132191665</v>
      </c>
      <c r="P125" s="310">
        <f t="shared" ca="1" si="47"/>
        <v>12</v>
      </c>
      <c r="Q125" s="304">
        <f t="shared" ca="1" si="48"/>
        <v>1197.2639999999997</v>
      </c>
      <c r="R125" s="306">
        <f t="shared" ca="1" si="49"/>
        <v>0.58837353957319194</v>
      </c>
      <c r="S125" s="307">
        <f t="shared" ca="1" si="50"/>
        <v>8.2719334814701408</v>
      </c>
      <c r="T125" s="304">
        <f t="shared" ca="1" si="30"/>
        <v>81.147667453222084</v>
      </c>
      <c r="U125" s="311">
        <f t="shared" ca="1" si="31"/>
        <v>0</v>
      </c>
      <c r="V125" s="306">
        <f t="shared" ca="1" si="32"/>
        <v>1.2132123469351048</v>
      </c>
      <c r="W125" s="304">
        <f t="shared" ca="1" si="33"/>
        <v>99.543140573659102</v>
      </c>
      <c r="Y125" s="314" t="str">
        <f t="shared" ca="1" si="51"/>
        <v/>
      </c>
      <c r="Z125" s="315" t="str">
        <f t="shared" ca="1" si="52"/>
        <v/>
      </c>
      <c r="AA125" s="316" t="str">
        <f t="shared" ca="1" si="53"/>
        <v/>
      </c>
      <c r="AC125" s="310" t="e">
        <f t="shared" ca="1" si="54"/>
        <v>#N/A</v>
      </c>
      <c r="AD125" s="323" t="e">
        <f t="shared" ca="1" si="55"/>
        <v>#N/A</v>
      </c>
      <c r="AE125" s="324">
        <f t="shared" ca="1" si="34"/>
        <v>96.690947199186212</v>
      </c>
      <c r="AG125" s="306">
        <f t="shared" ca="1" si="56"/>
        <v>123.25994107188123</v>
      </c>
      <c r="AH125" s="304">
        <f t="shared" ca="1" si="57"/>
        <v>132.88425300150956</v>
      </c>
    </row>
    <row r="126" spans="1:34" x14ac:dyDescent="0.3">
      <c r="A126" s="347">
        <f t="shared" ca="1" si="35"/>
        <v>0.01</v>
      </c>
      <c r="B126" s="304">
        <f t="shared" ca="1" si="36"/>
        <v>1.2200000000000009</v>
      </c>
      <c r="D126" s="306">
        <f t="shared" ca="1" si="37"/>
        <v>25.636073443685252</v>
      </c>
      <c r="E126" s="307">
        <f t="shared" ca="1" si="38"/>
        <v>119.99082242993083</v>
      </c>
      <c r="F126" s="304">
        <f t="shared" ca="1" si="39"/>
        <v>122.69884159608524</v>
      </c>
      <c r="G126" s="306">
        <f t="shared" ca="1" si="40"/>
        <v>31.741878299921002</v>
      </c>
      <c r="H126" s="307">
        <f t="shared" ca="1" si="41"/>
        <v>160.61769440007413</v>
      </c>
      <c r="I126" s="304">
        <f t="shared" ca="1" si="42"/>
        <v>163.72412953624948</v>
      </c>
      <c r="J126" s="306">
        <f t="shared" ca="1" si="43"/>
        <v>18.773736466518649</v>
      </c>
      <c r="K126" s="307">
        <f t="shared" ca="1" si="44"/>
        <v>98.291124602065452</v>
      </c>
      <c r="L126" s="304">
        <f t="shared" ca="1" si="29"/>
        <v>100.06796868355552</v>
      </c>
      <c r="M126" s="306">
        <f t="shared" ca="1" si="45"/>
        <v>1.3756866200840097</v>
      </c>
      <c r="N126" s="304">
        <f t="shared" ca="1" si="46"/>
        <v>78.821037263430867</v>
      </c>
      <c r="P126" s="310">
        <f t="shared" ca="1" si="47"/>
        <v>12</v>
      </c>
      <c r="Q126" s="304">
        <f t="shared" ca="1" si="48"/>
        <v>1193.2119999999995</v>
      </c>
      <c r="R126" s="306">
        <f t="shared" ca="1" si="49"/>
        <v>0.58638225813288247</v>
      </c>
      <c r="S126" s="307">
        <f t="shared" ca="1" si="50"/>
        <v>8.2660696588888118</v>
      </c>
      <c r="T126" s="304">
        <f t="shared" ca="1" si="30"/>
        <v>81.090143353699247</v>
      </c>
      <c r="U126" s="311">
        <f t="shared" ca="1" si="31"/>
        <v>0</v>
      </c>
      <c r="V126" s="306">
        <f t="shared" ca="1" si="32"/>
        <v>1.2130182223562138</v>
      </c>
      <c r="W126" s="304">
        <f t="shared" ca="1" si="33"/>
        <v>101.03573190940875</v>
      </c>
      <c r="Y126" s="314" t="str">
        <f t="shared" ca="1" si="51"/>
        <v/>
      </c>
      <c r="Z126" s="315" t="str">
        <f t="shared" ca="1" si="52"/>
        <v/>
      </c>
      <c r="AA126" s="316" t="str">
        <f t="shared" ca="1" si="53"/>
        <v/>
      </c>
      <c r="AC126" s="310" t="e">
        <f t="shared" ca="1" si="54"/>
        <v>#N/A</v>
      </c>
      <c r="AD126" s="323" t="e">
        <f t="shared" ca="1" si="55"/>
        <v>#N/A</v>
      </c>
      <c r="AE126" s="324">
        <f t="shared" ca="1" si="34"/>
        <v>98.291124602065452</v>
      </c>
      <c r="AG126" s="306">
        <f t="shared" ca="1" si="56"/>
        <v>122.68411768934315</v>
      </c>
      <c r="AH126" s="304">
        <f t="shared" ca="1" si="57"/>
        <v>132.30820747442866</v>
      </c>
    </row>
    <row r="127" spans="1:34" x14ac:dyDescent="0.3">
      <c r="A127" s="347">
        <f t="shared" ca="1" si="35"/>
        <v>0.01</v>
      </c>
      <c r="B127" s="304">
        <f t="shared" ca="1" si="36"/>
        <v>1.2300000000000009</v>
      </c>
      <c r="D127" s="306">
        <f t="shared" ca="1" si="37"/>
        <v>25.539154289904086</v>
      </c>
      <c r="E127" s="307">
        <f t="shared" ca="1" si="38"/>
        <v>119.4211702607204</v>
      </c>
      <c r="F127" s="304">
        <f t="shared" ca="1" si="39"/>
        <v>122.12151451846434</v>
      </c>
      <c r="G127" s="306">
        <f t="shared" ca="1" si="40"/>
        <v>31.997269842820042</v>
      </c>
      <c r="H127" s="307">
        <f t="shared" ca="1" si="41"/>
        <v>161.81190610268132</v>
      </c>
      <c r="I127" s="304">
        <f t="shared" ca="1" si="42"/>
        <v>164.94519766873239</v>
      </c>
      <c r="J127" s="306">
        <f t="shared" ca="1" si="43"/>
        <v>19.092432207232353</v>
      </c>
      <c r="K127" s="307">
        <f t="shared" ca="1" si="44"/>
        <v>99.903272604579229</v>
      </c>
      <c r="L127" s="304">
        <f t="shared" ca="1" si="29"/>
        <v>101.71128179652754</v>
      </c>
      <c r="M127" s="306">
        <f t="shared" ca="1" si="45"/>
        <v>1.3755713147854294</v>
      </c>
      <c r="N127" s="304">
        <f t="shared" ca="1" si="46"/>
        <v>78.81443075646672</v>
      </c>
      <c r="P127" s="310">
        <f t="shared" ca="1" si="47"/>
        <v>12</v>
      </c>
      <c r="Q127" s="304">
        <f t="shared" ca="1" si="48"/>
        <v>1189.1599999999996</v>
      </c>
      <c r="R127" s="306">
        <f t="shared" ca="1" si="49"/>
        <v>0.58439097669257312</v>
      </c>
      <c r="S127" s="307">
        <f t="shared" ca="1" si="50"/>
        <v>8.2602257491218865</v>
      </c>
      <c r="T127" s="304">
        <f t="shared" ca="1" si="30"/>
        <v>81.032814598885707</v>
      </c>
      <c r="U127" s="311">
        <f t="shared" ca="1" si="31"/>
        <v>0</v>
      </c>
      <c r="V127" s="306">
        <f t="shared" ca="1" si="32"/>
        <v>1.2128226768277626</v>
      </c>
      <c r="W127" s="304">
        <f t="shared" ca="1" si="33"/>
        <v>102.53188615501462</v>
      </c>
      <c r="Y127" s="314" t="str">
        <f t="shared" ca="1" si="51"/>
        <v/>
      </c>
      <c r="Z127" s="315" t="str">
        <f t="shared" ca="1" si="52"/>
        <v/>
      </c>
      <c r="AA127" s="316" t="str">
        <f t="shared" ca="1" si="53"/>
        <v/>
      </c>
      <c r="AC127" s="310" t="e">
        <f t="shared" ca="1" si="54"/>
        <v>#N/A</v>
      </c>
      <c r="AD127" s="323" t="e">
        <f t="shared" ca="1" si="55"/>
        <v>#N/A</v>
      </c>
      <c r="AE127" s="324">
        <f t="shared" ca="1" si="34"/>
        <v>99.903272604579229</v>
      </c>
      <c r="AG127" s="306">
        <f t="shared" ca="1" si="56"/>
        <v>122.10670359839872</v>
      </c>
      <c r="AH127" s="304">
        <f t="shared" ca="1" si="57"/>
        <v>131.73057264279555</v>
      </c>
    </row>
    <row r="128" spans="1:34" x14ac:dyDescent="0.3">
      <c r="A128" s="347">
        <f t="shared" ca="1" si="35"/>
        <v>0.01</v>
      </c>
      <c r="B128" s="304">
        <f t="shared" ca="1" si="36"/>
        <v>1.2400000000000009</v>
      </c>
      <c r="D128" s="306">
        <f t="shared" ca="1" si="37"/>
        <v>25.4416975796148</v>
      </c>
      <c r="E128" s="307">
        <f t="shared" ca="1" si="38"/>
        <v>118.85002631062662</v>
      </c>
      <c r="F128" s="304">
        <f t="shared" ca="1" si="39"/>
        <v>121.54262104204112</v>
      </c>
      <c r="G128" s="306">
        <f t="shared" ca="1" si="40"/>
        <v>32.251686818616193</v>
      </c>
      <c r="H128" s="307">
        <f t="shared" ca="1" si="41"/>
        <v>163.0004063657876</v>
      </c>
      <c r="I128" s="304">
        <f t="shared" ca="1" si="42"/>
        <v>166.16047598047496</v>
      </c>
      <c r="J128" s="306">
        <f t="shared" ca="1" si="43"/>
        <v>19.413676990539535</v>
      </c>
      <c r="K128" s="307">
        <f t="shared" ca="1" si="44"/>
        <v>101.52733416692158</v>
      </c>
      <c r="L128" s="304">
        <f t="shared" ca="1" si="29"/>
        <v>103.36677627426893</v>
      </c>
      <c r="M128" s="306">
        <f t="shared" ca="1" si="45"/>
        <v>1.3754567860332805</v>
      </c>
      <c r="N128" s="304">
        <f t="shared" ca="1" si="46"/>
        <v>78.807868742335685</v>
      </c>
      <c r="P128" s="310">
        <f t="shared" ca="1" si="47"/>
        <v>12</v>
      </c>
      <c r="Q128" s="304">
        <f t="shared" ca="1" si="48"/>
        <v>1185.1079999999995</v>
      </c>
      <c r="R128" s="306">
        <f t="shared" ca="1" si="49"/>
        <v>0.58239969525226365</v>
      </c>
      <c r="S128" s="307">
        <f t="shared" ca="1" si="50"/>
        <v>8.2544017521693647</v>
      </c>
      <c r="T128" s="304">
        <f t="shared" ca="1" si="30"/>
        <v>80.975681188781465</v>
      </c>
      <c r="U128" s="311">
        <f t="shared" ca="1" si="31"/>
        <v>0</v>
      </c>
      <c r="V128" s="306">
        <f t="shared" ca="1" si="32"/>
        <v>1.2126257179579503</v>
      </c>
      <c r="W128" s="304">
        <f t="shared" ca="1" si="33"/>
        <v>104.03141760694534</v>
      </c>
      <c r="Y128" s="314" t="str">
        <f t="shared" ca="1" si="51"/>
        <v/>
      </c>
      <c r="Z128" s="315" t="str">
        <f t="shared" ca="1" si="52"/>
        <v/>
      </c>
      <c r="AA128" s="316" t="str">
        <f t="shared" ca="1" si="53"/>
        <v/>
      </c>
      <c r="AC128" s="310" t="e">
        <f t="shared" ca="1" si="54"/>
        <v>#N/A</v>
      </c>
      <c r="AD128" s="323" t="e">
        <f t="shared" ca="1" si="55"/>
        <v>#N/A</v>
      </c>
      <c r="AE128" s="324">
        <f t="shared" ca="1" si="34"/>
        <v>101.52733416692158</v>
      </c>
      <c r="AG128" s="306">
        <f t="shared" ca="1" si="56"/>
        <v>121.52772219927782</v>
      </c>
      <c r="AH128" s="304">
        <f t="shared" ca="1" si="57"/>
        <v>131.15137187991482</v>
      </c>
    </row>
    <row r="129" spans="1:34" x14ac:dyDescent="0.3">
      <c r="A129" s="347">
        <f t="shared" ca="1" si="35"/>
        <v>0.01</v>
      </c>
      <c r="B129" s="304">
        <f t="shared" ca="1" si="36"/>
        <v>1.2500000000000009</v>
      </c>
      <c r="D129" s="306">
        <f t="shared" ca="1" si="37"/>
        <v>25.343710625070074</v>
      </c>
      <c r="E129" s="307">
        <f t="shared" ca="1" si="38"/>
        <v>118.2774130378462</v>
      </c>
      <c r="F129" s="304">
        <f t="shared" ca="1" si="39"/>
        <v>120.96218459986807</v>
      </c>
      <c r="G129" s="306">
        <f t="shared" ca="1" si="40"/>
        <v>32.505123924866894</v>
      </c>
      <c r="H129" s="307">
        <f t="shared" ca="1" si="41"/>
        <v>164.18318049616607</v>
      </c>
      <c r="I129" s="304">
        <f t="shared" ca="1" si="42"/>
        <v>167.36994903269704</v>
      </c>
      <c r="J129" s="306">
        <f t="shared" ca="1" si="43"/>
        <v>19.73746104425695</v>
      </c>
      <c r="K129" s="307">
        <f t="shared" ca="1" si="44"/>
        <v>103.16325210123135</v>
      </c>
      <c r="L129" s="304">
        <f t="shared" ca="1" si="29"/>
        <v>105.03439414104209</v>
      </c>
      <c r="M129" s="306">
        <f t="shared" ca="1" si="45"/>
        <v>1.3753430190530005</v>
      </c>
      <c r="N129" s="304">
        <f t="shared" ca="1" si="46"/>
        <v>78.801350374517696</v>
      </c>
      <c r="P129" s="310">
        <f t="shared" ca="1" si="47"/>
        <v>12</v>
      </c>
      <c r="Q129" s="304">
        <f t="shared" ca="1" si="48"/>
        <v>1181.0559999999996</v>
      </c>
      <c r="R129" s="306">
        <f t="shared" ca="1" si="49"/>
        <v>0.5804084138119544</v>
      </c>
      <c r="S129" s="307">
        <f t="shared" ca="1" si="50"/>
        <v>8.2485976680312447</v>
      </c>
      <c r="T129" s="304">
        <f t="shared" ca="1" si="30"/>
        <v>80.91874312338652</v>
      </c>
      <c r="U129" s="311">
        <f t="shared" ca="1" si="31"/>
        <v>0</v>
      </c>
      <c r="V129" s="306">
        <f t="shared" ca="1" si="32"/>
        <v>1.2124273533732757</v>
      </c>
      <c r="W129" s="304">
        <f t="shared" ca="1" si="33"/>
        <v>105.53414116690629</v>
      </c>
      <c r="Y129" s="314" t="str">
        <f t="shared" ca="1" si="51"/>
        <v/>
      </c>
      <c r="Z129" s="315" t="str">
        <f t="shared" ca="1" si="52"/>
        <v/>
      </c>
      <c r="AA129" s="316" t="str">
        <f t="shared" ca="1" si="53"/>
        <v/>
      </c>
      <c r="AC129" s="310" t="e">
        <f t="shared" ca="1" si="54"/>
        <v>#N/A</v>
      </c>
      <c r="AD129" s="323" t="e">
        <f t="shared" ca="1" si="55"/>
        <v>#N/A</v>
      </c>
      <c r="AE129" s="324">
        <f t="shared" ca="1" si="34"/>
        <v>103.16325210123135</v>
      </c>
      <c r="AG129" s="306">
        <f t="shared" ca="1" si="56"/>
        <v>120.9471969093657</v>
      </c>
      <c r="AH129" s="304">
        <f t="shared" ca="1" si="57"/>
        <v>130.57062857693191</v>
      </c>
    </row>
    <row r="130" spans="1:34" x14ac:dyDescent="0.3">
      <c r="A130" s="347">
        <f t="shared" ca="1" si="35"/>
        <v>0.01</v>
      </c>
      <c r="B130" s="304">
        <f t="shared" ca="1" si="36"/>
        <v>1.2600000000000009</v>
      </c>
      <c r="D130" s="306">
        <f t="shared" ca="1" si="37"/>
        <v>25.245200674247876</v>
      </c>
      <c r="E130" s="307">
        <f t="shared" ca="1" si="38"/>
        <v>117.70335292683227</v>
      </c>
      <c r="F130" s="304">
        <f t="shared" ca="1" si="39"/>
        <v>120.38022863951322</v>
      </c>
      <c r="G130" s="306">
        <f t="shared" ca="1" si="40"/>
        <v>32.757575931609374</v>
      </c>
      <c r="H130" s="307">
        <f t="shared" ca="1" si="41"/>
        <v>165.3602140254344</v>
      </c>
      <c r="I130" s="304">
        <f t="shared" ca="1" si="42"/>
        <v>168.57360162093181</v>
      </c>
      <c r="J130" s="306">
        <f t="shared" ca="1" si="43"/>
        <v>20.063774543539331</v>
      </c>
      <c r="K130" s="307">
        <f t="shared" ca="1" si="44"/>
        <v>104.81096907383936</v>
      </c>
      <c r="L130" s="304">
        <f t="shared" ca="1" si="29"/>
        <v>106.71407726786231</v>
      </c>
      <c r="M130" s="306">
        <f t="shared" ca="1" si="45"/>
        <v>1.3752299994480819</v>
      </c>
      <c r="N130" s="304">
        <f t="shared" ca="1" si="46"/>
        <v>78.794874828153624</v>
      </c>
      <c r="P130" s="310">
        <f t="shared" ca="1" si="47"/>
        <v>12</v>
      </c>
      <c r="Q130" s="304">
        <f t="shared" ca="1" si="48"/>
        <v>1177.0039999999997</v>
      </c>
      <c r="R130" s="306">
        <f t="shared" ca="1" si="49"/>
        <v>0.57841713237164505</v>
      </c>
      <c r="S130" s="307">
        <f t="shared" ca="1" si="50"/>
        <v>8.2428134967075284</v>
      </c>
      <c r="T130" s="304">
        <f t="shared" ca="1" si="30"/>
        <v>80.862000402700858</v>
      </c>
      <c r="U130" s="311">
        <f t="shared" ca="1" si="31"/>
        <v>0</v>
      </c>
      <c r="V130" s="306">
        <f t="shared" ca="1" si="32"/>
        <v>1.2122275907181668</v>
      </c>
      <c r="W130" s="304">
        <f t="shared" ca="1" si="33"/>
        <v>107.03987236149753</v>
      </c>
      <c r="Y130" s="314" t="str">
        <f t="shared" ca="1" si="51"/>
        <v/>
      </c>
      <c r="Z130" s="315" t="str">
        <f t="shared" ca="1" si="52"/>
        <v/>
      </c>
      <c r="AA130" s="316" t="str">
        <f t="shared" ca="1" si="53"/>
        <v/>
      </c>
      <c r="AC130" s="310" t="e">
        <f t="shared" ca="1" si="54"/>
        <v>#N/A</v>
      </c>
      <c r="AD130" s="323" t="e">
        <f t="shared" ca="1" si="55"/>
        <v>#N/A</v>
      </c>
      <c r="AE130" s="324">
        <f t="shared" ca="1" si="34"/>
        <v>104.81096907383936</v>
      </c>
      <c r="AG130" s="306">
        <f t="shared" ca="1" si="56"/>
        <v>120.36515116031384</v>
      </c>
      <c r="AH130" s="304">
        <f t="shared" ca="1" si="57"/>
        <v>129.98836613992012</v>
      </c>
    </row>
    <row r="131" spans="1:34" x14ac:dyDescent="0.3">
      <c r="A131" s="347">
        <f t="shared" ca="1" si="35"/>
        <v>0.01</v>
      </c>
      <c r="B131" s="304">
        <f t="shared" ca="1" si="36"/>
        <v>1.2700000000000009</v>
      </c>
      <c r="D131" s="306">
        <f t="shared" ca="1" si="37"/>
        <v>25.146174912758863</v>
      </c>
      <c r="E131" s="307">
        <f t="shared" ca="1" si="38"/>
        <v>117.12786848502384</v>
      </c>
      <c r="F131" s="304">
        <f t="shared" ca="1" si="39"/>
        <v>119.79677662019168</v>
      </c>
      <c r="G131" s="306">
        <f t="shared" ca="1" si="40"/>
        <v>33.009037680736959</v>
      </c>
      <c r="H131" s="307">
        <f t="shared" ca="1" si="41"/>
        <v>166.53149271028465</v>
      </c>
      <c r="I131" s="304">
        <f t="shared" ca="1" si="42"/>
        <v>169.77141877513984</v>
      </c>
      <c r="J131" s="306">
        <f t="shared" ca="1" si="43"/>
        <v>20.392607611601061</v>
      </c>
      <c r="K131" s="307">
        <f t="shared" ca="1" si="44"/>
        <v>106.47042760751795</v>
      </c>
      <c r="L131" s="304">
        <f t="shared" ca="1" si="29"/>
        <v>108.40576737484241</v>
      </c>
      <c r="M131" s="306">
        <f t="shared" ca="1" si="45"/>
        <v>1.3751177131870036</v>
      </c>
      <c r="N131" s="304">
        <f t="shared" ca="1" si="46"/>
        <v>78.788441299296537</v>
      </c>
      <c r="P131" s="310">
        <f t="shared" ca="1" si="47"/>
        <v>12</v>
      </c>
      <c r="Q131" s="304">
        <f t="shared" ca="1" si="48"/>
        <v>1172.9519999999995</v>
      </c>
      <c r="R131" s="306">
        <f t="shared" ca="1" si="49"/>
        <v>0.57642585093133558</v>
      </c>
      <c r="S131" s="307">
        <f t="shared" ca="1" si="50"/>
        <v>8.2370492381982157</v>
      </c>
      <c r="T131" s="304">
        <f t="shared" ca="1" si="30"/>
        <v>80.805453026724493</v>
      </c>
      <c r="U131" s="311">
        <f t="shared" ca="1" si="31"/>
        <v>0</v>
      </c>
      <c r="V131" s="306">
        <f t="shared" ca="1" si="32"/>
        <v>1.2120264376546046</v>
      </c>
      <c r="W131" s="304">
        <f t="shared" ca="1" si="33"/>
        <v>108.54842736165601</v>
      </c>
      <c r="Y131" s="314" t="str">
        <f t="shared" ca="1" si="51"/>
        <v/>
      </c>
      <c r="Z131" s="315" t="str">
        <f t="shared" ca="1" si="52"/>
        <v/>
      </c>
      <c r="AA131" s="316" t="str">
        <f t="shared" ca="1" si="53"/>
        <v/>
      </c>
      <c r="AC131" s="310" t="e">
        <f t="shared" ca="1" si="54"/>
        <v>#N/A</v>
      </c>
      <c r="AD131" s="323" t="e">
        <f t="shared" ca="1" si="55"/>
        <v>#N/A</v>
      </c>
      <c r="AE131" s="324">
        <f t="shared" ca="1" si="34"/>
        <v>106.47042760751795</v>
      </c>
      <c r="AG131" s="306">
        <f t="shared" ca="1" si="56"/>
        <v>119.7816083951632</v>
      </c>
      <c r="AH131" s="304">
        <f t="shared" ca="1" si="57"/>
        <v>129.40460798698118</v>
      </c>
    </row>
    <row r="132" spans="1:34" x14ac:dyDescent="0.3">
      <c r="A132" s="347">
        <f t="shared" ca="1" si="35"/>
        <v>0.01</v>
      </c>
      <c r="B132" s="304">
        <f t="shared" ca="1" si="36"/>
        <v>1.2800000000000009</v>
      </c>
      <c r="D132" s="306">
        <f t="shared" ca="1" si="37"/>
        <v>25.046640465647677</v>
      </c>
      <c r="E132" s="307">
        <f t="shared" ca="1" si="38"/>
        <v>116.55098223960715</v>
      </c>
      <c r="F132" s="304">
        <f t="shared" ca="1" si="39"/>
        <v>119.21185200990982</v>
      </c>
      <c r="G132" s="306">
        <f t="shared" ca="1" si="40"/>
        <v>33.259504085393438</v>
      </c>
      <c r="H132" s="307">
        <f t="shared" ca="1" si="41"/>
        <v>167.69700253268073</v>
      </c>
      <c r="I132" s="304">
        <f t="shared" ca="1" si="42"/>
        <v>170.96338575979428</v>
      </c>
      <c r="J132" s="306">
        <f t="shared" ca="1" si="43"/>
        <v>20.723950320431712</v>
      </c>
      <c r="K132" s="307">
        <f t="shared" ca="1" si="44"/>
        <v>108.14157008373277</v>
      </c>
      <c r="L132" s="304">
        <f t="shared" ref="L132:L195" ca="1" si="58">SQRT(pos_x^2+pos_z^2)</f>
        <v>110.10940603353835</v>
      </c>
      <c r="M132" s="306">
        <f t="shared" ca="1" si="45"/>
        <v>1.375006146590722</v>
      </c>
      <c r="N132" s="304">
        <f t="shared" ca="1" si="46"/>
        <v>78.78204900419496</v>
      </c>
      <c r="P132" s="310">
        <f t="shared" ca="1" si="47"/>
        <v>12</v>
      </c>
      <c r="Q132" s="304">
        <f t="shared" ca="1" si="48"/>
        <v>1168.8999999999996</v>
      </c>
      <c r="R132" s="306">
        <f t="shared" ca="1" si="49"/>
        <v>0.57443456949102623</v>
      </c>
      <c r="S132" s="307">
        <f t="shared" ca="1" si="50"/>
        <v>8.2313048925033048</v>
      </c>
      <c r="T132" s="304">
        <f t="shared" ref="T132:T195" ca="1" si="59">m*g</f>
        <v>80.749100995457425</v>
      </c>
      <c r="U132" s="311">
        <f t="shared" ref="U132:U195" ca="1" si="60">IF(pos_xz&lt;L_rampe,Poids*COS(Beta),0)</f>
        <v>0</v>
      </c>
      <c r="V132" s="306">
        <f t="shared" ref="V132:V195" ca="1" si="61">Rho_moyen*(20000-Alt_rampe-pos_z)/(20000+Alt_rampe+pos_z)</f>
        <v>1.2118239018617554</v>
      </c>
      <c r="W132" s="304">
        <f t="shared" ref="W132:W195" ca="1" si="62">1/2*Rho*Sref*Cx*vit_xz^2</f>
        <v>110.05962300188001</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108.14157008373277</v>
      </c>
      <c r="AG132" s="306">
        <f t="shared" ca="1" si="56"/>
        <v>119.19659206547986</v>
      </c>
      <c r="AH132" s="304">
        <f t="shared" ca="1" si="57"/>
        <v>128.81937754535898</v>
      </c>
    </row>
    <row r="133" spans="1:34" x14ac:dyDescent="0.3">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24.946604399093719</v>
      </c>
      <c r="E133" s="307">
        <f t="shared" ref="E133:E196" ca="1" si="67">IF(AND(L132&lt;L_rampe,Poussee&lt;Poids*SIN(M132)),0,(-W132+Poussee)/m*SIN(M132)+U132/m*COS(M132)-Poids/m)</f>
        <v>115.97271673430799</v>
      </c>
      <c r="F133" s="304">
        <f t="shared" ref="F133:F196" ca="1" si="68">SQRT(acc_x^2+acc_z^2)</f>
        <v>118.62547828262242</v>
      </c>
      <c r="G133" s="306">
        <f t="shared" ref="G133:G196" ca="1" si="69">G132+acc_x*pas</f>
        <v>33.508970129384373</v>
      </c>
      <c r="H133" s="307">
        <f t="shared" ref="H133:H196" ca="1" si="70">H132+acc_z*pas</f>
        <v>168.85672970002381</v>
      </c>
      <c r="I133" s="304">
        <f t="shared" ref="I133:I196" ca="1" si="71">SQRT(vit_x^2+vit_z^2)</f>
        <v>172.14948807393787</v>
      </c>
      <c r="J133" s="306">
        <f t="shared" ref="J133:J196" ca="1" si="72">J132+0.5*(vit_x+G132)*pas*(K132&gt;=0)</f>
        <v>21.0577926915056</v>
      </c>
      <c r="K133" s="307">
        <f t="shared" ref="K133:K196" ca="1" si="73">K132+0.5*(vit_z+H132)*pas</f>
        <v>109.82433874489629</v>
      </c>
      <c r="L133" s="304">
        <f t="shared" ca="1" si="58"/>
        <v>111.82493466929527</v>
      </c>
      <c r="M133" s="306">
        <f t="shared" ref="M133:M196" ca="1" si="74">IF(AND(L132&gt;L_rampe,G133&gt;0),ATAN2(G133,H133),$M$4)</f>
        <v>1.3748952863206942</v>
      </c>
      <c r="N133" s="304">
        <f t="shared" ref="N133:N196" ca="1" si="75">DEGREES(Beta)</f>
        <v>78.775697178606691</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8.2255804596227975</v>
      </c>
      <c r="T133" s="304">
        <f t="shared" ca="1" si="59"/>
        <v>80.692944308899641</v>
      </c>
      <c r="U133" s="311">
        <f t="shared" ca="1" si="60"/>
        <v>0</v>
      </c>
      <c r="V133" s="306">
        <f t="shared" ca="1" si="61"/>
        <v>1.2116199910355963</v>
      </c>
      <c r="W133" s="304">
        <f t="shared" ca="1" si="62"/>
        <v>111.5732767992325</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109.82433874489629</v>
      </c>
      <c r="AG133" s="306">
        <f t="shared" ref="AG133:AG196" ca="1" si="85">IF(AND(L132&lt;L_rampe,Poussee&lt;Poids*SIN(M132)),0,(-W132+Poussee)/m-Poids*SIN(M132)/m)</f>
        <v>118.61012562850325</v>
      </c>
      <c r="AH133" s="304">
        <f t="shared" ref="AH133:AH196" ca="1" si="86">IF(AND(L132&lt;L_rampe,Poussee&lt;Poids*SIN(M132)), g*SIN(M132), (-W132+Poussee)/m)</f>
        <v>128.23269824856703</v>
      </c>
    </row>
    <row r="134" spans="1:34" x14ac:dyDescent="0.3">
      <c r="A134" s="347">
        <f t="shared" ca="1" si="64"/>
        <v>0.01</v>
      </c>
      <c r="B134" s="304">
        <f t="shared" ca="1" si="65"/>
        <v>1.3000000000000009</v>
      </c>
      <c r="D134" s="306">
        <f t="shared" ca="1" si="66"/>
        <v>24.846073722016776</v>
      </c>
      <c r="E134" s="307">
        <f t="shared" ca="1" si="67"/>
        <v>115.39309452621571</v>
      </c>
      <c r="F134" s="304">
        <f t="shared" ca="1" si="68"/>
        <v>118.03767891540416</v>
      </c>
      <c r="G134" s="306">
        <f t="shared" ca="1" si="69"/>
        <v>33.757430866604544</v>
      </c>
      <c r="H134" s="307">
        <f t="shared" ca="1" si="70"/>
        <v>170.01066064528595</v>
      </c>
      <c r="I134" s="304">
        <f t="shared" ca="1" si="71"/>
        <v>173.3297114512113</v>
      </c>
      <c r="J134" s="306">
        <f t="shared" ca="1" si="72"/>
        <v>21.394124696485544</v>
      </c>
      <c r="K134" s="307">
        <f t="shared" ca="1" si="73"/>
        <v>111.51867569662285</v>
      </c>
      <c r="L134" s="304">
        <f t="shared" ca="1" si="58"/>
        <v>113.55229456359442</v>
      </c>
      <c r="M134" s="306">
        <f t="shared" ca="1" si="74"/>
        <v>1.3747851193674041</v>
      </c>
      <c r="N134" s="304">
        <f t="shared" ca="1" si="75"/>
        <v>78.769385077141351</v>
      </c>
      <c r="P134" s="310">
        <f t="shared" ca="1" si="76"/>
        <v>12</v>
      </c>
      <c r="Q134" s="304">
        <f t="shared" ca="1" si="77"/>
        <v>1160.7959999999996</v>
      </c>
      <c r="R134" s="306">
        <f t="shared" ca="1" si="78"/>
        <v>0.5704520066104074</v>
      </c>
      <c r="S134" s="307">
        <f t="shared" ca="1" si="79"/>
        <v>8.2198759395566938</v>
      </c>
      <c r="T134" s="304">
        <f t="shared" ca="1" si="59"/>
        <v>80.636982967051168</v>
      </c>
      <c r="U134" s="311">
        <f t="shared" ca="1" si="60"/>
        <v>0</v>
      </c>
      <c r="V134" s="306">
        <f t="shared" ca="1" si="61"/>
        <v>1.2114147128885453</v>
      </c>
      <c r="W134" s="304">
        <f t="shared" ca="1" si="62"/>
        <v>113.08920697212041</v>
      </c>
      <c r="Y134" s="314" t="str">
        <f t="shared" ca="1" si="80"/>
        <v/>
      </c>
      <c r="Z134" s="315" t="str">
        <f t="shared" ca="1" si="81"/>
        <v/>
      </c>
      <c r="AA134" s="316" t="str">
        <f t="shared" ca="1" si="82"/>
        <v/>
      </c>
      <c r="AC134" s="310" t="e">
        <f t="shared" ca="1" si="83"/>
        <v>#N/A</v>
      </c>
      <c r="AD134" s="323" t="e">
        <f t="shared" ca="1" si="84"/>
        <v>#N/A</v>
      </c>
      <c r="AE134" s="324">
        <f t="shared" ca="1" si="63"/>
        <v>111.51867569662285</v>
      </c>
      <c r="AG134" s="306">
        <f t="shared" ca="1" si="85"/>
        <v>118.02223254430902</v>
      </c>
      <c r="AH134" s="304">
        <f t="shared" ca="1" si="86"/>
        <v>127.64459353353122</v>
      </c>
    </row>
    <row r="135" spans="1:34" x14ac:dyDescent="0.3">
      <c r="A135" s="347">
        <f t="shared" ca="1" si="64"/>
        <v>0.01</v>
      </c>
      <c r="B135" s="304">
        <f t="shared" ca="1" si="65"/>
        <v>1.3100000000000009</v>
      </c>
      <c r="D135" s="306">
        <f t="shared" ca="1" si="66"/>
        <v>24.738305681861622</v>
      </c>
      <c r="E135" s="307">
        <f t="shared" ca="1" si="67"/>
        <v>114.77814501725022</v>
      </c>
      <c r="F135" s="304">
        <f t="shared" ca="1" si="68"/>
        <v>117.41382517237973</v>
      </c>
      <c r="G135" s="306">
        <f t="shared" ca="1" si="69"/>
        <v>34.004813923423157</v>
      </c>
      <c r="H135" s="307">
        <f t="shared" ca="1" si="70"/>
        <v>171.15844209545847</v>
      </c>
      <c r="I135" s="304">
        <f t="shared" ca="1" si="71"/>
        <v>174.50369529185059</v>
      </c>
      <c r="J135" s="306">
        <f t="shared" ca="1" si="72"/>
        <v>21.732935920435683</v>
      </c>
      <c r="K135" s="307">
        <f t="shared" ca="1" si="73"/>
        <v>113.22452121032657</v>
      </c>
      <c r="L135" s="304">
        <f t="shared" ca="1" si="58"/>
        <v>115.29142512359475</v>
      </c>
      <c r="M135" s="306">
        <f t="shared" ca="1" si="74"/>
        <v>1.3746756328219252</v>
      </c>
      <c r="N135" s="304">
        <f t="shared" ca="1" si="75"/>
        <v>78.76311196017194</v>
      </c>
      <c r="P135" s="310">
        <f t="shared" ca="1" si="76"/>
        <v>13</v>
      </c>
      <c r="Q135" s="304">
        <f t="shared" ca="1" si="77"/>
        <v>1156.4594999999995</v>
      </c>
      <c r="R135" s="306">
        <f t="shared" ca="1" si="78"/>
        <v>0.56832091283797359</v>
      </c>
      <c r="S135" s="307">
        <f t="shared" ca="1" si="79"/>
        <v>8.214192730428314</v>
      </c>
      <c r="T135" s="304">
        <f t="shared" ca="1" si="59"/>
        <v>80.581230685501765</v>
      </c>
      <c r="U135" s="311">
        <f t="shared" ca="1" si="60"/>
        <v>0</v>
      </c>
      <c r="V135" s="306">
        <f t="shared" ca="1" si="61"/>
        <v>1.2112080753549603</v>
      </c>
      <c r="W135" s="304">
        <f t="shared" ca="1" si="62"/>
        <v>114.60677725494357</v>
      </c>
      <c r="Y135" s="314" t="str">
        <f t="shared" ca="1" si="80"/>
        <v/>
      </c>
      <c r="Z135" s="315" t="str">
        <f t="shared" ca="1" si="81"/>
        <v/>
      </c>
      <c r="AA135" s="316" t="str">
        <f t="shared" ca="1" si="82"/>
        <v/>
      </c>
      <c r="AC135" s="310" t="e">
        <f t="shared" ca="1" si="83"/>
        <v>#N/A</v>
      </c>
      <c r="AD135" s="323" t="e">
        <f t="shared" ca="1" si="84"/>
        <v>#N/A</v>
      </c>
      <c r="AE135" s="324">
        <f t="shared" ca="1" si="63"/>
        <v>113.22452121032657</v>
      </c>
      <c r="AG135" s="306">
        <f t="shared" ca="1" si="85"/>
        <v>117.39827947249097</v>
      </c>
      <c r="AH135" s="304">
        <f t="shared" ca="1" si="86"/>
        <v>127.02043003725267</v>
      </c>
    </row>
    <row r="136" spans="1:34" x14ac:dyDescent="0.3">
      <c r="A136" s="347">
        <f t="shared" ca="1" si="64"/>
        <v>0.01</v>
      </c>
      <c r="B136" s="304">
        <f t="shared" ca="1" si="65"/>
        <v>1.320000000000001</v>
      </c>
      <c r="D136" s="306">
        <f t="shared" ca="1" si="66"/>
        <v>24.62328873565318</v>
      </c>
      <c r="E136" s="307">
        <f t="shared" ca="1" si="67"/>
        <v>114.12785623270344</v>
      </c>
      <c r="F136" s="304">
        <f t="shared" ca="1" si="68"/>
        <v>116.7539032171172</v>
      </c>
      <c r="G136" s="306">
        <f t="shared" ca="1" si="69"/>
        <v>34.251046810779691</v>
      </c>
      <c r="H136" s="307">
        <f t="shared" ca="1" si="70"/>
        <v>172.29972065778551</v>
      </c>
      <c r="I136" s="304">
        <f t="shared" ca="1" si="71"/>
        <v>175.67107885586955</v>
      </c>
      <c r="J136" s="306">
        <f t="shared" ca="1" si="72"/>
        <v>22.074215224106698</v>
      </c>
      <c r="K136" s="307">
        <f t="shared" ca="1" si="73"/>
        <v>114.9418120240928</v>
      </c>
      <c r="L136" s="304">
        <f t="shared" ca="1" si="58"/>
        <v>117.04226214979812</v>
      </c>
      <c r="M136" s="306">
        <f t="shared" ca="1" si="74"/>
        <v>1.3745668138760827</v>
      </c>
      <c r="N136" s="304">
        <f t="shared" ca="1" si="75"/>
        <v>78.756877093844096</v>
      </c>
      <c r="P136" s="310">
        <f t="shared" ca="1" si="76"/>
        <v>13</v>
      </c>
      <c r="Q136" s="304">
        <f t="shared" ca="1" si="77"/>
        <v>1151.8384999999994</v>
      </c>
      <c r="R136" s="306">
        <f t="shared" ca="1" si="78"/>
        <v>0.56605000673341543</v>
      </c>
      <c r="S136" s="307">
        <f t="shared" ca="1" si="79"/>
        <v>8.20853223036098</v>
      </c>
      <c r="T136" s="304">
        <f t="shared" ca="1" si="59"/>
        <v>80.525701179841221</v>
      </c>
      <c r="U136" s="311">
        <f t="shared" ca="1" si="60"/>
        <v>0</v>
      </c>
      <c r="V136" s="306">
        <f t="shared" ca="1" si="61"/>
        <v>1.2110000867966377</v>
      </c>
      <c r="W136" s="304">
        <f t="shared" ca="1" si="62"/>
        <v>116.12533979341195</v>
      </c>
      <c r="Y136" s="314" t="str">
        <f t="shared" ca="1" si="80"/>
        <v/>
      </c>
      <c r="Z136" s="315" t="str">
        <f t="shared" ca="1" si="81"/>
        <v/>
      </c>
      <c r="AA136" s="316" t="str">
        <f t="shared" ca="1" si="82"/>
        <v/>
      </c>
      <c r="AC136" s="310" t="e">
        <f t="shared" ca="1" si="83"/>
        <v>#N/A</v>
      </c>
      <c r="AD136" s="323" t="e">
        <f t="shared" ca="1" si="84"/>
        <v>#N/A</v>
      </c>
      <c r="AE136" s="324">
        <f t="shared" ca="1" si="63"/>
        <v>114.9418120240928</v>
      </c>
      <c r="AG136" s="306">
        <f t="shared" ca="1" si="85"/>
        <v>116.73825239088752</v>
      </c>
      <c r="AH136" s="304">
        <f t="shared" ca="1" si="86"/>
        <v>126.36019371510005</v>
      </c>
    </row>
    <row r="137" spans="1:34" x14ac:dyDescent="0.3">
      <c r="A137" s="347">
        <f t="shared" ca="1" si="64"/>
        <v>0.01</v>
      </c>
      <c r="B137" s="304">
        <f t="shared" ca="1" si="65"/>
        <v>1.330000000000001</v>
      </c>
      <c r="D137" s="306">
        <f t="shared" ca="1" si="66"/>
        <v>24.507778291353375</v>
      </c>
      <c r="E137" s="307">
        <f t="shared" ca="1" si="67"/>
        <v>113.47625682220433</v>
      </c>
      <c r="F137" s="304">
        <f t="shared" ca="1" si="68"/>
        <v>116.09260122487137</v>
      </c>
      <c r="G137" s="306">
        <f t="shared" ca="1" si="69"/>
        <v>34.496124593693224</v>
      </c>
      <c r="H137" s="307">
        <f t="shared" ca="1" si="70"/>
        <v>173.43448322600756</v>
      </c>
      <c r="I137" s="304">
        <f t="shared" ca="1" si="71"/>
        <v>176.83184833014641</v>
      </c>
      <c r="J137" s="306">
        <f t="shared" ca="1" si="72"/>
        <v>22.417951081129061</v>
      </c>
      <c r="K137" s="307">
        <f t="shared" ca="1" si="73"/>
        <v>116.67048304351177</v>
      </c>
      <c r="L137" s="304">
        <f t="shared" ca="1" si="58"/>
        <v>118.80473956994419</v>
      </c>
      <c r="M137" s="306">
        <f t="shared" ca="1" si="74"/>
        <v>1.3744586500346807</v>
      </c>
      <c r="N137" s="304">
        <f t="shared" ca="1" si="75"/>
        <v>78.750679762235848</v>
      </c>
      <c r="P137" s="310">
        <f t="shared" ca="1" si="76"/>
        <v>13</v>
      </c>
      <c r="Q137" s="304">
        <f t="shared" ca="1" si="77"/>
        <v>1147.2174999999995</v>
      </c>
      <c r="R137" s="306">
        <f t="shared" ca="1" si="78"/>
        <v>0.56377910062885728</v>
      </c>
      <c r="S137" s="307">
        <f t="shared" ca="1" si="79"/>
        <v>8.2028944393546919</v>
      </c>
      <c r="T137" s="304">
        <f t="shared" ca="1" si="59"/>
        <v>80.470394450069534</v>
      </c>
      <c r="U137" s="311">
        <f t="shared" ca="1" si="60"/>
        <v>0</v>
      </c>
      <c r="V137" s="306">
        <f t="shared" ca="1" si="61"/>
        <v>1.2107907557964157</v>
      </c>
      <c r="W137" s="304">
        <f t="shared" ca="1" si="62"/>
        <v>117.64469711390616</v>
      </c>
      <c r="Y137" s="314" t="str">
        <f t="shared" ca="1" si="80"/>
        <v/>
      </c>
      <c r="Z137" s="315" t="str">
        <f t="shared" ca="1" si="81"/>
        <v/>
      </c>
      <c r="AA137" s="316" t="str">
        <f t="shared" ca="1" si="82"/>
        <v/>
      </c>
      <c r="AC137" s="310" t="e">
        <f t="shared" ca="1" si="83"/>
        <v>#N/A</v>
      </c>
      <c r="AD137" s="323" t="e">
        <f t="shared" ca="1" si="84"/>
        <v>#N/A</v>
      </c>
      <c r="AE137" s="324">
        <f t="shared" ca="1" si="63"/>
        <v>116.67048304351177</v>
      </c>
      <c r="AG137" s="306">
        <f t="shared" ca="1" si="85"/>
        <v>116.07684398621184</v>
      </c>
      <c r="AH137" s="304">
        <f t="shared" ca="1" si="86"/>
        <v>125.69857723144148</v>
      </c>
    </row>
    <row r="138" spans="1:34" x14ac:dyDescent="0.3">
      <c r="A138" s="347">
        <f t="shared" ca="1" si="64"/>
        <v>0.01</v>
      </c>
      <c r="B138" s="304">
        <f t="shared" ca="1" si="65"/>
        <v>1.340000000000001</v>
      </c>
      <c r="D138" s="306">
        <f t="shared" ca="1" si="66"/>
        <v>24.391781965437676</v>
      </c>
      <c r="E138" s="307">
        <f t="shared" ca="1" si="67"/>
        <v>112.82337258790382</v>
      </c>
      <c r="F138" s="304">
        <f t="shared" ca="1" si="68"/>
        <v>115.42994598265399</v>
      </c>
      <c r="G138" s="306">
        <f t="shared" ca="1" si="69"/>
        <v>34.740042413347602</v>
      </c>
      <c r="H138" s="307">
        <f t="shared" ca="1" si="70"/>
        <v>174.56271695188659</v>
      </c>
      <c r="I138" s="304">
        <f t="shared" ca="1" si="71"/>
        <v>177.98599016918624</v>
      </c>
      <c r="J138" s="306">
        <f t="shared" ca="1" si="72"/>
        <v>22.764131916164267</v>
      </c>
      <c r="K138" s="307">
        <f t="shared" ca="1" si="73"/>
        <v>118.41046904440124</v>
      </c>
      <c r="L138" s="304">
        <f t="shared" ca="1" si="58"/>
        <v>120.57879117494765</v>
      </c>
      <c r="M138" s="306">
        <f t="shared" ca="1" si="74"/>
        <v>1.3743511291050652</v>
      </c>
      <c r="N138" s="304">
        <f t="shared" ca="1" si="75"/>
        <v>78.744519266759553</v>
      </c>
      <c r="P138" s="310">
        <f t="shared" ca="1" si="76"/>
        <v>13</v>
      </c>
      <c r="Q138" s="304">
        <f t="shared" ca="1" si="77"/>
        <v>1142.5964999999994</v>
      </c>
      <c r="R138" s="306">
        <f t="shared" ca="1" si="78"/>
        <v>0.56150819452429912</v>
      </c>
      <c r="S138" s="307">
        <f t="shared" ca="1" si="79"/>
        <v>8.1972793574094496</v>
      </c>
      <c r="T138" s="304">
        <f t="shared" ca="1" si="59"/>
        <v>80.415310496186706</v>
      </c>
      <c r="U138" s="311">
        <f t="shared" ca="1" si="60"/>
        <v>0</v>
      </c>
      <c r="V138" s="306">
        <f t="shared" ca="1" si="61"/>
        <v>1.2105800909517601</v>
      </c>
      <c r="W138" s="304">
        <f t="shared" ca="1" si="62"/>
        <v>119.16465277259206</v>
      </c>
      <c r="Y138" s="314" t="str">
        <f t="shared" ca="1" si="80"/>
        <v/>
      </c>
      <c r="Z138" s="315" t="str">
        <f t="shared" ca="1" si="81"/>
        <v/>
      </c>
      <c r="AA138" s="316" t="str">
        <f t="shared" ca="1" si="82"/>
        <v/>
      </c>
      <c r="AC138" s="310" t="e">
        <f t="shared" ca="1" si="83"/>
        <v>#N/A</v>
      </c>
      <c r="AD138" s="323" t="e">
        <f t="shared" ca="1" si="84"/>
        <v>#N/A</v>
      </c>
      <c r="AE138" s="324">
        <f t="shared" ca="1" si="63"/>
        <v>118.41046904440124</v>
      </c>
      <c r="AG138" s="306">
        <f t="shared" ca="1" si="85"/>
        <v>115.41408102140514</v>
      </c>
      <c r="AH138" s="304">
        <f t="shared" ca="1" si="86"/>
        <v>125.0356073274053</v>
      </c>
    </row>
    <row r="139" spans="1:34" x14ac:dyDescent="0.3">
      <c r="A139" s="347">
        <f t="shared" ca="1" si="64"/>
        <v>0.01</v>
      </c>
      <c r="B139" s="304">
        <f t="shared" ca="1" si="65"/>
        <v>1.350000000000001</v>
      </c>
      <c r="D139" s="306">
        <f t="shared" ca="1" si="66"/>
        <v>24.275307315561541</v>
      </c>
      <c r="E139" s="307">
        <f t="shared" ca="1" si="67"/>
        <v>112.16922931200284</v>
      </c>
      <c r="F139" s="304">
        <f t="shared" ca="1" si="68"/>
        <v>114.76596424774041</v>
      </c>
      <c r="G139" s="306">
        <f t="shared" ca="1" si="69"/>
        <v>34.982795486503221</v>
      </c>
      <c r="H139" s="307">
        <f t="shared" ca="1" si="70"/>
        <v>175.68440924500661</v>
      </c>
      <c r="I139" s="304">
        <f t="shared" ca="1" si="71"/>
        <v>179.13349109481865</v>
      </c>
      <c r="J139" s="306">
        <f t="shared" ca="1" si="72"/>
        <v>23.112746105663522</v>
      </c>
      <c r="K139" s="307">
        <f t="shared" ca="1" si="73"/>
        <v>120.16170467538571</v>
      </c>
      <c r="L139" s="304">
        <f t="shared" ca="1" si="58"/>
        <v>122.36435062157392</v>
      </c>
      <c r="M139" s="306">
        <f t="shared" ca="1" si="74"/>
        <v>1.3742442391871161</v>
      </c>
      <c r="N139" s="304">
        <f t="shared" ca="1" si="75"/>
        <v>78.738394925588565</v>
      </c>
      <c r="P139" s="310">
        <f t="shared" ca="1" si="76"/>
        <v>13</v>
      </c>
      <c r="Q139" s="304">
        <f t="shared" ca="1" si="77"/>
        <v>1137.9754999999996</v>
      </c>
      <c r="R139" s="306">
        <f t="shared" ca="1" si="78"/>
        <v>0.55923728841974096</v>
      </c>
      <c r="S139" s="307">
        <f t="shared" ca="1" si="79"/>
        <v>8.1916869845252513</v>
      </c>
      <c r="T139" s="304">
        <f t="shared" ca="1" si="59"/>
        <v>80.360449318192721</v>
      </c>
      <c r="U139" s="311">
        <f t="shared" ca="1" si="60"/>
        <v>0</v>
      </c>
      <c r="V139" s="306">
        <f t="shared" ca="1" si="61"/>
        <v>1.2103681008743443</v>
      </c>
      <c r="W139" s="304">
        <f t="shared" ca="1" si="62"/>
        <v>120.68501137496114</v>
      </c>
      <c r="Y139" s="314" t="str">
        <f t="shared" ca="1" si="80"/>
        <v/>
      </c>
      <c r="Z139" s="315" t="str">
        <f t="shared" ca="1" si="81"/>
        <v/>
      </c>
      <c r="AA139" s="316" t="str">
        <f t="shared" ca="1" si="82"/>
        <v/>
      </c>
      <c r="AC139" s="310" t="e">
        <f t="shared" ca="1" si="83"/>
        <v>#N/A</v>
      </c>
      <c r="AD139" s="323" t="e">
        <f t="shared" ca="1" si="84"/>
        <v>#N/A</v>
      </c>
      <c r="AE139" s="324">
        <f t="shared" ca="1" si="63"/>
        <v>120.16170467538571</v>
      </c>
      <c r="AG139" s="306">
        <f t="shared" ca="1" si="85"/>
        <v>114.74999022916325</v>
      </c>
      <c r="AH139" s="304">
        <f t="shared" ca="1" si="86"/>
        <v>124.37131071438915</v>
      </c>
    </row>
    <row r="140" spans="1:34" x14ac:dyDescent="0.3">
      <c r="A140" s="347">
        <f t="shared" ca="1" si="64"/>
        <v>0.01</v>
      </c>
      <c r="B140" s="304">
        <f t="shared" ca="1" si="65"/>
        <v>1.360000000000001</v>
      </c>
      <c r="D140" s="306">
        <f t="shared" ca="1" si="66"/>
        <v>24.158361841789873</v>
      </c>
      <c r="E140" s="307">
        <f t="shared" ca="1" si="67"/>
        <v>111.51385275326102</v>
      </c>
      <c r="F140" s="304">
        <f t="shared" ca="1" si="68"/>
        <v>114.10068274447278</v>
      </c>
      <c r="G140" s="306">
        <f t="shared" ca="1" si="69"/>
        <v>35.22437910492112</v>
      </c>
      <c r="H140" s="307">
        <f t="shared" ca="1" si="70"/>
        <v>176.79954777253923</v>
      </c>
      <c r="I140" s="304">
        <f t="shared" ca="1" si="71"/>
        <v>180.27433809586319</v>
      </c>
      <c r="J140" s="306">
        <f t="shared" ca="1" si="72"/>
        <v>23.463781978620645</v>
      </c>
      <c r="K140" s="307">
        <f t="shared" ca="1" si="73"/>
        <v>121.92412446047344</v>
      </c>
      <c r="L140" s="304">
        <f t="shared" ca="1" si="58"/>
        <v>124.16135143511147</v>
      </c>
      <c r="M140" s="306">
        <f t="shared" ca="1" si="74"/>
        <v>1.374137968663651</v>
      </c>
      <c r="N140" s="304">
        <f t="shared" ca="1" si="75"/>
        <v>78.732306073107381</v>
      </c>
      <c r="P140" s="310">
        <f t="shared" ca="1" si="76"/>
        <v>13</v>
      </c>
      <c r="Q140" s="304">
        <f t="shared" ca="1" si="77"/>
        <v>1133.3544999999995</v>
      </c>
      <c r="R140" s="306">
        <f t="shared" ca="1" si="78"/>
        <v>0.55696638231518281</v>
      </c>
      <c r="S140" s="307">
        <f t="shared" ca="1" si="79"/>
        <v>8.186117320702099</v>
      </c>
      <c r="T140" s="304">
        <f t="shared" ca="1" si="59"/>
        <v>80.305810916087594</v>
      </c>
      <c r="U140" s="311">
        <f t="shared" ca="1" si="60"/>
        <v>0</v>
      </c>
      <c r="V140" s="306">
        <f t="shared" ca="1" si="61"/>
        <v>1.2101547941896353</v>
      </c>
      <c r="W140" s="304">
        <f t="shared" ca="1" si="62"/>
        <v>122.20557859506181</v>
      </c>
      <c r="Y140" s="314" t="str">
        <f t="shared" ca="1" si="80"/>
        <v/>
      </c>
      <c r="Z140" s="315" t="str">
        <f t="shared" ca="1" si="81"/>
        <v/>
      </c>
      <c r="AA140" s="316" t="str">
        <f t="shared" ca="1" si="82"/>
        <v/>
      </c>
      <c r="AC140" s="310" t="e">
        <f t="shared" ca="1" si="83"/>
        <v>#N/A</v>
      </c>
      <c r="AD140" s="323" t="e">
        <f t="shared" ca="1" si="84"/>
        <v>#N/A</v>
      </c>
      <c r="AE140" s="324">
        <f t="shared" ca="1" si="63"/>
        <v>121.92412446047344</v>
      </c>
      <c r="AG140" s="306">
        <f t="shared" ca="1" si="85"/>
        <v>114.084598308723</v>
      </c>
      <c r="AH140" s="304">
        <f t="shared" ca="1" si="86"/>
        <v>123.70571407082944</v>
      </c>
    </row>
    <row r="141" spans="1:34" x14ac:dyDescent="0.3">
      <c r="A141" s="347">
        <f t="shared" ca="1" si="64"/>
        <v>0.01</v>
      </c>
      <c r="B141" s="304">
        <f t="shared" ca="1" si="65"/>
        <v>1.370000000000001</v>
      </c>
      <c r="D141" s="306">
        <f t="shared" ca="1" si="66"/>
        <v>24.040952987752924</v>
      </c>
      <c r="E141" s="307">
        <f t="shared" ca="1" si="67"/>
        <v>110.85726864354505</v>
      </c>
      <c r="F141" s="304">
        <f t="shared" ca="1" si="68"/>
        <v>113.43412816108943</v>
      </c>
      <c r="G141" s="306">
        <f t="shared" ca="1" si="69"/>
        <v>35.464788634798651</v>
      </c>
      <c r="H141" s="307">
        <f t="shared" ca="1" si="70"/>
        <v>177.90812045897468</v>
      </c>
      <c r="I141" s="304">
        <f t="shared" ca="1" si="71"/>
        <v>181.40851842776289</v>
      </c>
      <c r="J141" s="306">
        <f t="shared" ca="1" si="72"/>
        <v>23.817227817319242</v>
      </c>
      <c r="K141" s="307">
        <f t="shared" ca="1" si="73"/>
        <v>123.69766280163101</v>
      </c>
      <c r="L141" s="304">
        <f t="shared" ca="1" si="58"/>
        <v>125.96972701204085</v>
      </c>
      <c r="M141" s="306">
        <f t="shared" ca="1" si="74"/>
        <v>1.3740323061912136</v>
      </c>
      <c r="N141" s="304">
        <f t="shared" ca="1" si="75"/>
        <v>78.726252059383796</v>
      </c>
      <c r="P141" s="310">
        <f t="shared" ca="1" si="76"/>
        <v>13</v>
      </c>
      <c r="Q141" s="304">
        <f t="shared" ca="1" si="77"/>
        <v>1128.7334999999994</v>
      </c>
      <c r="R141" s="306">
        <f t="shared" ca="1" si="78"/>
        <v>0.55469547621062465</v>
      </c>
      <c r="S141" s="307">
        <f t="shared" ca="1" si="79"/>
        <v>8.1805703659399924</v>
      </c>
      <c r="T141" s="304">
        <f t="shared" ca="1" si="59"/>
        <v>80.251395289871326</v>
      </c>
      <c r="U141" s="311">
        <f t="shared" ca="1" si="60"/>
        <v>0</v>
      </c>
      <c r="V141" s="306">
        <f t="shared" ca="1" si="61"/>
        <v>1.2099401795364779</v>
      </c>
      <c r="W141" s="304">
        <f t="shared" ca="1" si="62"/>
        <v>123.72616119441986</v>
      </c>
      <c r="Y141" s="314" t="str">
        <f t="shared" ca="1" si="80"/>
        <v/>
      </c>
      <c r="Z141" s="315" t="str">
        <f t="shared" ca="1" si="81"/>
        <v/>
      </c>
      <c r="AA141" s="316" t="str">
        <f t="shared" ca="1" si="82"/>
        <v/>
      </c>
      <c r="AC141" s="310" t="e">
        <f t="shared" ca="1" si="83"/>
        <v>#N/A</v>
      </c>
      <c r="AD141" s="323" t="e">
        <f t="shared" ca="1" si="84"/>
        <v>#N/A</v>
      </c>
      <c r="AE141" s="324">
        <f t="shared" ca="1" si="63"/>
        <v>123.69766280163101</v>
      </c>
      <c r="AG141" s="306">
        <f t="shared" ca="1" si="85"/>
        <v>113.41793192267471</v>
      </c>
      <c r="AH141" s="304">
        <f t="shared" ca="1" si="86"/>
        <v>123.03884403899777</v>
      </c>
    </row>
    <row r="142" spans="1:34" x14ac:dyDescent="0.3">
      <c r="A142" s="347">
        <f t="shared" ca="1" si="64"/>
        <v>0.01</v>
      </c>
      <c r="B142" s="304">
        <f t="shared" ca="1" si="65"/>
        <v>1.380000000000001</v>
      </c>
      <c r="D142" s="306">
        <f t="shared" ca="1" si="66"/>
        <v>23.923088141732908</v>
      </c>
      <c r="E142" s="307">
        <f t="shared" ca="1" si="67"/>
        <v>110.19950268441519</v>
      </c>
      <c r="F142" s="304">
        <f t="shared" ca="1" si="68"/>
        <v>112.76632714658021</v>
      </c>
      <c r="G142" s="306">
        <f t="shared" ca="1" si="69"/>
        <v>35.704019516215979</v>
      </c>
      <c r="H142" s="307">
        <f t="shared" ca="1" si="70"/>
        <v>179.01011548581883</v>
      </c>
      <c r="I142" s="304">
        <f t="shared" ca="1" si="71"/>
        <v>182.53601961218646</v>
      </c>
      <c r="J142" s="306">
        <f t="shared" ca="1" si="72"/>
        <v>24.173071858074316</v>
      </c>
      <c r="K142" s="307">
        <f t="shared" ca="1" si="73"/>
        <v>125.48225398135497</v>
      </c>
      <c r="L142" s="304">
        <f t="shared" ca="1" si="58"/>
        <v>127.78941062269949</v>
      </c>
      <c r="M142" s="306">
        <f t="shared" ca="1" si="74"/>
        <v>1.373927240691236</v>
      </c>
      <c r="N142" s="304">
        <f t="shared" ca="1" si="75"/>
        <v>78.720232249662644</v>
      </c>
      <c r="P142" s="310">
        <f t="shared" ca="1" si="76"/>
        <v>13</v>
      </c>
      <c r="Q142" s="304">
        <f t="shared" ca="1" si="77"/>
        <v>1124.1124999999995</v>
      </c>
      <c r="R142" s="306">
        <f t="shared" ca="1" si="78"/>
        <v>0.55242457010606649</v>
      </c>
      <c r="S142" s="307">
        <f t="shared" ca="1" si="79"/>
        <v>8.1750461202389317</v>
      </c>
      <c r="T142" s="304">
        <f t="shared" ca="1" si="59"/>
        <v>80.197202439543929</v>
      </c>
      <c r="U142" s="311">
        <f t="shared" ca="1" si="60"/>
        <v>0</v>
      </c>
      <c r="V142" s="306">
        <f t="shared" ca="1" si="61"/>
        <v>1.2097242655666798</v>
      </c>
      <c r="W142" s="304">
        <f t="shared" ca="1" si="62"/>
        <v>125.24656704064547</v>
      </c>
      <c r="Y142" s="314" t="str">
        <f t="shared" ca="1" si="80"/>
        <v/>
      </c>
      <c r="Z142" s="315" t="str">
        <f t="shared" ca="1" si="81"/>
        <v/>
      </c>
      <c r="AA142" s="316" t="str">
        <f t="shared" ca="1" si="82"/>
        <v/>
      </c>
      <c r="AC142" s="310" t="e">
        <f t="shared" ca="1" si="83"/>
        <v>#N/A</v>
      </c>
      <c r="AD142" s="323" t="e">
        <f t="shared" ca="1" si="84"/>
        <v>#N/A</v>
      </c>
      <c r="AE142" s="324">
        <f t="shared" ca="1" si="63"/>
        <v>125.48225398135497</v>
      </c>
      <c r="AG142" s="306">
        <f t="shared" ca="1" si="85"/>
        <v>112.75001769379971</v>
      </c>
      <c r="AH142" s="304">
        <f t="shared" ca="1" si="86"/>
        <v>122.37072722182286</v>
      </c>
    </row>
    <row r="143" spans="1:34" x14ac:dyDescent="0.3">
      <c r="A143" s="347">
        <f t="shared" ca="1" si="64"/>
        <v>0.01</v>
      </c>
      <c r="B143" s="304">
        <f t="shared" ca="1" si="65"/>
        <v>1.390000000000001</v>
      </c>
      <c r="D143" s="306">
        <f t="shared" ca="1" si="66"/>
        <v>23.804774637684496</v>
      </c>
      <c r="E143" s="307">
        <f t="shared" ca="1" si="67"/>
        <v>109.54058054375096</v>
      </c>
      <c r="F143" s="304">
        <f t="shared" ca="1" si="68"/>
        <v>112.09730630756896</v>
      </c>
      <c r="G143" s="306">
        <f t="shared" ca="1" si="69"/>
        <v>35.942067262592822</v>
      </c>
      <c r="H143" s="307">
        <f t="shared" ca="1" si="70"/>
        <v>180.10552129125634</v>
      </c>
      <c r="I143" s="304">
        <f t="shared" ca="1" si="71"/>
        <v>183.65682943659877</v>
      </c>
      <c r="J143" s="306">
        <f t="shared" ca="1" si="72"/>
        <v>24.531302291968359</v>
      </c>
      <c r="K143" s="307">
        <f t="shared" ca="1" si="73"/>
        <v>127.27783216524035</v>
      </c>
      <c r="L143" s="304">
        <f t="shared" ca="1" si="58"/>
        <v>129.62033541394277</v>
      </c>
      <c r="M143" s="306">
        <f t="shared" ca="1" si="74"/>
        <v>1.3738227613415506</v>
      </c>
      <c r="N143" s="304">
        <f t="shared" ca="1" si="75"/>
        <v>78.714246023879397</v>
      </c>
      <c r="P143" s="310">
        <f t="shared" ca="1" si="76"/>
        <v>13</v>
      </c>
      <c r="Q143" s="304">
        <f t="shared" ca="1" si="77"/>
        <v>1119.4914999999994</v>
      </c>
      <c r="R143" s="306">
        <f t="shared" ca="1" si="78"/>
        <v>0.55015366400150834</v>
      </c>
      <c r="S143" s="307">
        <f t="shared" ca="1" si="79"/>
        <v>8.1695445835989169</v>
      </c>
      <c r="T143" s="304">
        <f t="shared" ca="1" si="59"/>
        <v>80.143232365105376</v>
      </c>
      <c r="U143" s="311">
        <f t="shared" ca="1" si="60"/>
        <v>0</v>
      </c>
      <c r="V143" s="306">
        <f t="shared" ca="1" si="61"/>
        <v>1.2095070609446001</v>
      </c>
      <c r="W143" s="304">
        <f t="shared" ca="1" si="62"/>
        <v>126.76660512572526</v>
      </c>
      <c r="Y143" s="314" t="str">
        <f t="shared" ca="1" si="80"/>
        <v/>
      </c>
      <c r="Z143" s="315" t="str">
        <f t="shared" ca="1" si="81"/>
        <v/>
      </c>
      <c r="AA143" s="316" t="str">
        <f t="shared" ca="1" si="82"/>
        <v/>
      </c>
      <c r="AC143" s="310" t="e">
        <f t="shared" ca="1" si="83"/>
        <v>#N/A</v>
      </c>
      <c r="AD143" s="323" t="e">
        <f t="shared" ca="1" si="84"/>
        <v>#N/A</v>
      </c>
      <c r="AE143" s="324">
        <f t="shared" ca="1" si="63"/>
        <v>127.27783216524035</v>
      </c>
      <c r="AG143" s="306">
        <f t="shared" ca="1" si="85"/>
        <v>112.08088220193467</v>
      </c>
      <c r="AH143" s="304">
        <f t="shared" ca="1" si="86"/>
        <v>121.70139017974007</v>
      </c>
    </row>
    <row r="144" spans="1:34" x14ac:dyDescent="0.3">
      <c r="A144" s="347">
        <f t="shared" ca="1" si="64"/>
        <v>0.01</v>
      </c>
      <c r="B144" s="304">
        <f t="shared" ca="1" si="65"/>
        <v>1.400000000000001</v>
      </c>
      <c r="D144" s="306">
        <f t="shared" ca="1" si="66"/>
        <v>23.686019756193161</v>
      </c>
      <c r="E144" s="307">
        <f t="shared" ca="1" si="67"/>
        <v>108.88052785241547</v>
      </c>
      <c r="F144" s="304">
        <f t="shared" ca="1" si="68"/>
        <v>111.42709220522356</v>
      </c>
      <c r="G144" s="306">
        <f t="shared" ca="1" si="69"/>
        <v>36.178927460154753</v>
      </c>
      <c r="H144" s="307">
        <f t="shared" ca="1" si="70"/>
        <v>181.19432656978049</v>
      </c>
      <c r="I144" s="304">
        <f t="shared" ca="1" si="71"/>
        <v>184.77093595380038</v>
      </c>
      <c r="J144" s="306">
        <f t="shared" ca="1" si="72"/>
        <v>24.891907265582098</v>
      </c>
      <c r="K144" s="307">
        <f t="shared" ca="1" si="73"/>
        <v>129.08433140454554</v>
      </c>
      <c r="L144" s="304">
        <f t="shared" ca="1" si="58"/>
        <v>131.46243441180025</v>
      </c>
      <c r="M144" s="306">
        <f t="shared" ca="1" si="74"/>
        <v>1.3737188575682393</v>
      </c>
      <c r="N144" s="304">
        <f t="shared" ca="1" si="75"/>
        <v>78.708292776193176</v>
      </c>
      <c r="P144" s="310">
        <f t="shared" ca="1" si="76"/>
        <v>13</v>
      </c>
      <c r="Q144" s="304">
        <f t="shared" ca="1" si="77"/>
        <v>1114.8704999999993</v>
      </c>
      <c r="R144" s="306">
        <f t="shared" ca="1" si="78"/>
        <v>0.54788275789695007</v>
      </c>
      <c r="S144" s="307">
        <f t="shared" ca="1" si="79"/>
        <v>8.1640657560199479</v>
      </c>
      <c r="T144" s="304">
        <f t="shared" ca="1" si="59"/>
        <v>80.089485066555696</v>
      </c>
      <c r="U144" s="311">
        <f t="shared" ca="1" si="60"/>
        <v>0</v>
      </c>
      <c r="V144" s="306">
        <f t="shared" ca="1" si="61"/>
        <v>1.2092885743467365</v>
      </c>
      <c r="W144" s="304">
        <f t="shared" ca="1" si="62"/>
        <v>128.28608558399719</v>
      </c>
      <c r="Y144" s="314" t="str">
        <f t="shared" ca="1" si="80"/>
        <v/>
      </c>
      <c r="Z144" s="315" t="str">
        <f t="shared" ca="1" si="81"/>
        <v/>
      </c>
      <c r="AA144" s="316" t="str">
        <f t="shared" ca="1" si="82"/>
        <v/>
      </c>
      <c r="AC144" s="310" t="e">
        <f t="shared" ca="1" si="83"/>
        <v>#N/A</v>
      </c>
      <c r="AD144" s="323" t="e">
        <f t="shared" ca="1" si="84"/>
        <v>#N/A</v>
      </c>
      <c r="AE144" s="324">
        <f t="shared" ca="1" si="63"/>
        <v>129.08433140454554</v>
      </c>
      <c r="AG144" s="306">
        <f t="shared" ca="1" si="85"/>
        <v>111.41055198086279</v>
      </c>
      <c r="AH144" s="304">
        <f t="shared" ca="1" si="86"/>
        <v>121.03085942756825</v>
      </c>
    </row>
    <row r="145" spans="1:34" x14ac:dyDescent="0.3">
      <c r="A145" s="347">
        <f t="shared" ca="1" si="64"/>
        <v>0.01</v>
      </c>
      <c r="B145" s="304">
        <f t="shared" ca="1" si="65"/>
        <v>1.410000000000001</v>
      </c>
      <c r="D145" s="306">
        <f t="shared" ca="1" si="66"/>
        <v>23.485635896410489</v>
      </c>
      <c r="E145" s="307">
        <f t="shared" ca="1" si="67"/>
        <v>107.81272347625195</v>
      </c>
      <c r="F145" s="304">
        <f t="shared" ca="1" si="68"/>
        <v>110.34110039702129</v>
      </c>
      <c r="G145" s="306">
        <f t="shared" ca="1" si="69"/>
        <v>36.413783819118855</v>
      </c>
      <c r="H145" s="307">
        <f t="shared" ca="1" si="70"/>
        <v>182.27245380454301</v>
      </c>
      <c r="I145" s="304">
        <f t="shared" ca="1" si="71"/>
        <v>185.87418074588732</v>
      </c>
      <c r="J145" s="306">
        <f t="shared" ca="1" si="72"/>
        <v>25.254870821978468</v>
      </c>
      <c r="K145" s="307">
        <f t="shared" ca="1" si="73"/>
        <v>130.90166530641716</v>
      </c>
      <c r="L145" s="304">
        <f t="shared" ca="1" si="58"/>
        <v>133.31561979088602</v>
      </c>
      <c r="M145" s="306">
        <f t="shared" ca="1" si="74"/>
        <v>1.3736155167323834</v>
      </c>
      <c r="N145" s="304">
        <f t="shared" ca="1" si="75"/>
        <v>78.702371782447273</v>
      </c>
      <c r="P145" s="310">
        <f t="shared" ca="1" si="76"/>
        <v>14</v>
      </c>
      <c r="Q145" s="304">
        <f t="shared" ca="1" si="77"/>
        <v>1106.868333333332</v>
      </c>
      <c r="R145" s="306">
        <f t="shared" ca="1" si="78"/>
        <v>0.54395023914927065</v>
      </c>
      <c r="S145" s="307">
        <f t="shared" ca="1" si="79"/>
        <v>8.1586262536284551</v>
      </c>
      <c r="T145" s="304">
        <f t="shared" ca="1" si="59"/>
        <v>80.036123548095148</v>
      </c>
      <c r="U145" s="311">
        <f t="shared" ca="1" si="60"/>
        <v>0</v>
      </c>
      <c r="V145" s="306">
        <f t="shared" ca="1" si="61"/>
        <v>1.2090688169197392</v>
      </c>
      <c r="W145" s="304">
        <f t="shared" ca="1" si="62"/>
        <v>129.79902844048834</v>
      </c>
      <c r="Y145" s="314" t="str">
        <f t="shared" ca="1" si="80"/>
        <v/>
      </c>
      <c r="Z145" s="315" t="str">
        <f t="shared" ca="1" si="81"/>
        <v/>
      </c>
      <c r="AA145" s="316" t="str">
        <f t="shared" ca="1" si="82"/>
        <v/>
      </c>
      <c r="AC145" s="310" t="e">
        <f t="shared" ca="1" si="83"/>
        <v>#N/A</v>
      </c>
      <c r="AD145" s="323" t="e">
        <f t="shared" ca="1" si="84"/>
        <v>#N/A</v>
      </c>
      <c r="AE145" s="324">
        <f t="shared" ca="1" si="63"/>
        <v>130.90166530641716</v>
      </c>
      <c r="AG145" s="306">
        <f t="shared" ca="1" si="85"/>
        <v>110.32437995812407</v>
      </c>
      <c r="AH145" s="304">
        <f t="shared" ca="1" si="86"/>
        <v>119.94448787430625</v>
      </c>
    </row>
    <row r="146" spans="1:34" x14ac:dyDescent="0.3">
      <c r="A146" s="347">
        <f t="shared" ca="1" si="64"/>
        <v>0.01</v>
      </c>
      <c r="B146" s="304">
        <f t="shared" ca="1" si="65"/>
        <v>1.420000000000001</v>
      </c>
      <c r="D146" s="306">
        <f t="shared" ca="1" si="66"/>
        <v>23.203435688952183</v>
      </c>
      <c r="E146" s="307">
        <f t="shared" ca="1" si="67"/>
        <v>106.33687396206882</v>
      </c>
      <c r="F146" s="304">
        <f t="shared" ca="1" si="68"/>
        <v>108.83901043190465</v>
      </c>
      <c r="G146" s="306">
        <f t="shared" ca="1" si="69"/>
        <v>36.645818176008376</v>
      </c>
      <c r="H146" s="307">
        <f t="shared" ca="1" si="70"/>
        <v>183.3358225441637</v>
      </c>
      <c r="I146" s="304">
        <f t="shared" ca="1" si="71"/>
        <v>186.96240215009581</v>
      </c>
      <c r="J146" s="306">
        <f t="shared" ca="1" si="72"/>
        <v>25.620168831954103</v>
      </c>
      <c r="K146" s="307">
        <f t="shared" ca="1" si="73"/>
        <v>132.72970668816069</v>
      </c>
      <c r="L146" s="304">
        <f t="shared" ca="1" si="58"/>
        <v>135.17976212622582</v>
      </c>
      <c r="M146" s="306">
        <f t="shared" ca="1" si="74"/>
        <v>1.3735127242223479</v>
      </c>
      <c r="N146" s="304">
        <f t="shared" ca="1" si="75"/>
        <v>78.696482205456689</v>
      </c>
      <c r="P146" s="310">
        <f t="shared" ca="1" si="76"/>
        <v>14</v>
      </c>
      <c r="Q146" s="304">
        <f t="shared" ca="1" si="77"/>
        <v>1095.4849999999985</v>
      </c>
      <c r="R146" s="306">
        <f t="shared" ca="1" si="78"/>
        <v>0.53835610775847054</v>
      </c>
      <c r="S146" s="307">
        <f t="shared" ca="1" si="79"/>
        <v>8.1532426925508705</v>
      </c>
      <c r="T146" s="304">
        <f t="shared" ca="1" si="59"/>
        <v>79.983310813924049</v>
      </c>
      <c r="U146" s="311">
        <f t="shared" ca="1" si="60"/>
        <v>0</v>
      </c>
      <c r="V146" s="306">
        <f t="shared" ca="1" si="61"/>
        <v>1.2088478047376772</v>
      </c>
      <c r="W146" s="304">
        <f t="shared" ca="1" si="62"/>
        <v>131.29931837203699</v>
      </c>
      <c r="Y146" s="314" t="str">
        <f t="shared" ca="1" si="80"/>
        <v/>
      </c>
      <c r="Z146" s="315" t="str">
        <f t="shared" ca="1" si="81"/>
        <v/>
      </c>
      <c r="AA146" s="316" t="str">
        <f t="shared" ca="1" si="82"/>
        <v/>
      </c>
      <c r="AC146" s="310" t="e">
        <f t="shared" ca="1" si="83"/>
        <v>#N/A</v>
      </c>
      <c r="AD146" s="323" t="e">
        <f t="shared" ca="1" si="84"/>
        <v>#N/A</v>
      </c>
      <c r="AE146" s="324">
        <f t="shared" ca="1" si="63"/>
        <v>132.72970668816069</v>
      </c>
      <c r="AG146" s="306">
        <f t="shared" ca="1" si="85"/>
        <v>108.82204164580605</v>
      </c>
      <c r="AH146" s="304">
        <f t="shared" ca="1" si="86"/>
        <v>118.44195100947991</v>
      </c>
    </row>
    <row r="147" spans="1:34" x14ac:dyDescent="0.3">
      <c r="A147" s="347">
        <f t="shared" ca="1" si="64"/>
        <v>0.01</v>
      </c>
      <c r="B147" s="304">
        <f t="shared" ca="1" si="65"/>
        <v>1.430000000000001</v>
      </c>
      <c r="D147" s="306">
        <f t="shared" ca="1" si="66"/>
        <v>22.920625659791838</v>
      </c>
      <c r="E147" s="307">
        <f t="shared" ca="1" si="67"/>
        <v>104.85988507070421</v>
      </c>
      <c r="F147" s="304">
        <f t="shared" ca="1" si="68"/>
        <v>107.33569107094621</v>
      </c>
      <c r="G147" s="306">
        <f t="shared" ca="1" si="69"/>
        <v>36.875024432606295</v>
      </c>
      <c r="H147" s="307">
        <f t="shared" ca="1" si="70"/>
        <v>184.38442139487074</v>
      </c>
      <c r="I147" s="304">
        <f t="shared" ca="1" si="71"/>
        <v>188.03558780195459</v>
      </c>
      <c r="J147" s="306">
        <f t="shared" ca="1" si="72"/>
        <v>25.987773044997176</v>
      </c>
      <c r="K147" s="307">
        <f t="shared" ca="1" si="73"/>
        <v>134.56830790785585</v>
      </c>
      <c r="L147" s="304">
        <f t="shared" ca="1" si="58"/>
        <v>137.0547111230467</v>
      </c>
      <c r="M147" s="306">
        <f t="shared" ca="1" si="74"/>
        <v>1.3734104657973949</v>
      </c>
      <c r="N147" s="304">
        <f t="shared" ca="1" si="75"/>
        <v>78.690623229287226</v>
      </c>
      <c r="P147" s="310">
        <f t="shared" ca="1" si="76"/>
        <v>14</v>
      </c>
      <c r="Q147" s="304">
        <f t="shared" ca="1" si="77"/>
        <v>1084.1016666666653</v>
      </c>
      <c r="R147" s="306">
        <f t="shared" ca="1" si="78"/>
        <v>0.53276197636767053</v>
      </c>
      <c r="S147" s="307">
        <f t="shared" ca="1" si="79"/>
        <v>8.1479150727871943</v>
      </c>
      <c r="T147" s="304">
        <f t="shared" ca="1" si="59"/>
        <v>79.931046864042386</v>
      </c>
      <c r="U147" s="311">
        <f t="shared" ca="1" si="60"/>
        <v>0</v>
      </c>
      <c r="V147" s="306">
        <f t="shared" ca="1" si="61"/>
        <v>1.2086255563401</v>
      </c>
      <c r="W147" s="304">
        <f t="shared" ca="1" si="62"/>
        <v>132.78657337347224</v>
      </c>
      <c r="Y147" s="314" t="str">
        <f t="shared" ca="1" si="80"/>
        <v/>
      </c>
      <c r="Z147" s="315" t="str">
        <f t="shared" ca="1" si="81"/>
        <v/>
      </c>
      <c r="AA147" s="316" t="str">
        <f t="shared" ca="1" si="82"/>
        <v/>
      </c>
      <c r="AC147" s="310" t="e">
        <f t="shared" ca="1" si="83"/>
        <v>#N/A</v>
      </c>
      <c r="AD147" s="323" t="e">
        <f t="shared" ca="1" si="84"/>
        <v>#N/A</v>
      </c>
      <c r="AE147" s="324">
        <f t="shared" ca="1" si="63"/>
        <v>134.56830790785585</v>
      </c>
      <c r="AG147" s="306">
        <f t="shared" ca="1" si="85"/>
        <v>107.31846687348968</v>
      </c>
      <c r="AH147" s="304">
        <f t="shared" ca="1" si="86"/>
        <v>116.93817863625559</v>
      </c>
    </row>
    <row r="148" spans="1:34" x14ac:dyDescent="0.3">
      <c r="A148" s="347">
        <f t="shared" ca="1" si="64"/>
        <v>0.01</v>
      </c>
      <c r="B148" s="304">
        <f t="shared" ca="1" si="65"/>
        <v>1.4400000000000011</v>
      </c>
      <c r="D148" s="306">
        <f t="shared" ca="1" si="66"/>
        <v>22.637224288697862</v>
      </c>
      <c r="E148" s="307">
        <f t="shared" ca="1" si="67"/>
        <v>103.38183015284196</v>
      </c>
      <c r="F148" s="304">
        <f t="shared" ca="1" si="68"/>
        <v>105.83121812229071</v>
      </c>
      <c r="G148" s="306">
        <f t="shared" ca="1" si="69"/>
        <v>37.101396675493277</v>
      </c>
      <c r="H148" s="307">
        <f t="shared" ca="1" si="70"/>
        <v>185.41823969639916</v>
      </c>
      <c r="I148" s="304">
        <f t="shared" ca="1" si="71"/>
        <v>189.09372609207222</v>
      </c>
      <c r="J148" s="306">
        <f t="shared" ca="1" si="72"/>
        <v>26.357655150537674</v>
      </c>
      <c r="K148" s="307">
        <f t="shared" ca="1" si="73"/>
        <v>136.41732121331219</v>
      </c>
      <c r="L148" s="304">
        <f t="shared" ca="1" si="58"/>
        <v>138.94031636659915</v>
      </c>
      <c r="M148" s="306">
        <f t="shared" ca="1" si="74"/>
        <v>1.3733087275731493</v>
      </c>
      <c r="N148" s="304">
        <f t="shared" ca="1" si="75"/>
        <v>78.684794058422796</v>
      </c>
      <c r="P148" s="310">
        <f t="shared" ca="1" si="76"/>
        <v>14</v>
      </c>
      <c r="Q148" s="304">
        <f t="shared" ca="1" si="77"/>
        <v>1072.7183333333319</v>
      </c>
      <c r="R148" s="306">
        <f t="shared" ca="1" si="78"/>
        <v>0.52716784497687041</v>
      </c>
      <c r="S148" s="307">
        <f t="shared" ca="1" si="79"/>
        <v>8.1426433943374263</v>
      </c>
      <c r="T148" s="304">
        <f t="shared" ca="1" si="59"/>
        <v>79.879331698450159</v>
      </c>
      <c r="U148" s="311">
        <f t="shared" ca="1" si="60"/>
        <v>0</v>
      </c>
      <c r="V148" s="306">
        <f t="shared" ca="1" si="61"/>
        <v>1.2084020902705208</v>
      </c>
      <c r="W148" s="304">
        <f t="shared" ca="1" si="62"/>
        <v>134.26041765603998</v>
      </c>
      <c r="Y148" s="314" t="str">
        <f t="shared" ca="1" si="80"/>
        <v/>
      </c>
      <c r="Z148" s="315" t="str">
        <f t="shared" ca="1" si="81"/>
        <v/>
      </c>
      <c r="AA148" s="316" t="str">
        <f t="shared" ca="1" si="82"/>
        <v/>
      </c>
      <c r="AC148" s="310" t="e">
        <f t="shared" ca="1" si="83"/>
        <v>#N/A</v>
      </c>
      <c r="AD148" s="323" t="e">
        <f t="shared" ca="1" si="84"/>
        <v>#N/A</v>
      </c>
      <c r="AE148" s="324">
        <f t="shared" ca="1" si="63"/>
        <v>136.41732121331219</v>
      </c>
      <c r="AG148" s="306">
        <f t="shared" ca="1" si="85"/>
        <v>105.81373114945993</v>
      </c>
      <c r="AH148" s="304">
        <f t="shared" ca="1" si="86"/>
        <v>115.43324623715057</v>
      </c>
    </row>
    <row r="149" spans="1:34" x14ac:dyDescent="0.3">
      <c r="A149" s="347">
        <f t="shared" ca="1" si="64"/>
        <v>0.01</v>
      </c>
      <c r="B149" s="304">
        <f t="shared" ca="1" si="65"/>
        <v>1.4500000000000011</v>
      </c>
      <c r="D149" s="306">
        <f t="shared" ca="1" si="66"/>
        <v>22.353249863359803</v>
      </c>
      <c r="E149" s="307">
        <f t="shared" ca="1" si="67"/>
        <v>101.90278206611727</v>
      </c>
      <c r="F149" s="304">
        <f t="shared" ca="1" si="68"/>
        <v>104.32566689107905</v>
      </c>
      <c r="G149" s="306">
        <f t="shared" ca="1" si="69"/>
        <v>37.324929174126872</v>
      </c>
      <c r="H149" s="307">
        <f t="shared" ca="1" si="70"/>
        <v>186.43726751706032</v>
      </c>
      <c r="I149" s="304">
        <f t="shared" ca="1" si="71"/>
        <v>190.1368061609364</v>
      </c>
      <c r="J149" s="306">
        <f t="shared" ca="1" si="72"/>
        <v>26.729786779785776</v>
      </c>
      <c r="K149" s="307">
        <f t="shared" ca="1" si="73"/>
        <v>138.2765987493795</v>
      </c>
      <c r="L149" s="304">
        <f t="shared" ca="1" si="58"/>
        <v>140.83642732968525</v>
      </c>
      <c r="M149" s="306">
        <f t="shared" ca="1" si="74"/>
        <v>1.3732074960077247</v>
      </c>
      <c r="N149" s="304">
        <f t="shared" ca="1" si="75"/>
        <v>78.67899391697047</v>
      </c>
      <c r="P149" s="310">
        <f t="shared" ca="1" si="76"/>
        <v>14</v>
      </c>
      <c r="Q149" s="304">
        <f t="shared" ca="1" si="77"/>
        <v>1061.3349999999984</v>
      </c>
      <c r="R149" s="306">
        <f t="shared" ca="1" si="78"/>
        <v>0.5215737135860703</v>
      </c>
      <c r="S149" s="307">
        <f t="shared" ca="1" si="79"/>
        <v>8.1374276572015649</v>
      </c>
      <c r="T149" s="304">
        <f t="shared" ca="1" si="59"/>
        <v>79.828165317147352</v>
      </c>
      <c r="U149" s="311">
        <f t="shared" ca="1" si="60"/>
        <v>0</v>
      </c>
      <c r="V149" s="306">
        <f t="shared" ca="1" si="61"/>
        <v>1.2081774250753403</v>
      </c>
      <c r="W149" s="304">
        <f t="shared" ca="1" si="62"/>
        <v>135.72048168005057</v>
      </c>
      <c r="Y149" s="314" t="str">
        <f t="shared" ca="1" si="80"/>
        <v/>
      </c>
      <c r="Z149" s="315" t="str">
        <f t="shared" ca="1" si="81"/>
        <v/>
      </c>
      <c r="AA149" s="316" t="str">
        <f t="shared" ca="1" si="82"/>
        <v/>
      </c>
      <c r="AC149" s="310" t="e">
        <f t="shared" ca="1" si="83"/>
        <v>#N/A</v>
      </c>
      <c r="AD149" s="323" t="e">
        <f t="shared" ca="1" si="84"/>
        <v>#N/A</v>
      </c>
      <c r="AE149" s="324">
        <f t="shared" ca="1" si="63"/>
        <v>138.2765987493795</v>
      </c>
      <c r="AG149" s="306">
        <f t="shared" ca="1" si="85"/>
        <v>104.307909461937</v>
      </c>
      <c r="AH149" s="304">
        <f t="shared" ca="1" si="86"/>
        <v>113.92722877523883</v>
      </c>
    </row>
    <row r="150" spans="1:34" x14ac:dyDescent="0.3">
      <c r="A150" s="347">
        <f t="shared" ca="1" si="64"/>
        <v>0.01</v>
      </c>
      <c r="B150" s="304">
        <f t="shared" ca="1" si="65"/>
        <v>1.4600000000000011</v>
      </c>
      <c r="D150" s="306">
        <f t="shared" ca="1" si="66"/>
        <v>22.068720480628524</v>
      </c>
      <c r="E150" s="307">
        <f t="shared" ca="1" si="67"/>
        <v>100.42281316386895</v>
      </c>
      <c r="F150" s="304">
        <f t="shared" ca="1" si="68"/>
        <v>102.81911216985607</v>
      </c>
      <c r="G150" s="306">
        <f t="shared" ca="1" si="69"/>
        <v>37.545616378933154</v>
      </c>
      <c r="H150" s="307">
        <f t="shared" ca="1" si="70"/>
        <v>187.441495648699</v>
      </c>
      <c r="I150" s="304">
        <f t="shared" ca="1" si="71"/>
        <v>191.16481789360526</v>
      </c>
      <c r="J150" s="306">
        <f t="shared" ca="1" si="72"/>
        <v>27.104139507551075</v>
      </c>
      <c r="K150" s="307">
        <f t="shared" ca="1" si="73"/>
        <v>140.1459925652083</v>
      </c>
      <c r="L150" s="304">
        <f t="shared" ca="1" si="58"/>
        <v>142.74289338013369</v>
      </c>
      <c r="M150" s="306">
        <f t="shared" ca="1" si="74"/>
        <v>1.3731067578884761</v>
      </c>
      <c r="N150" s="304">
        <f t="shared" ca="1" si="75"/>
        <v>78.673222047901447</v>
      </c>
      <c r="P150" s="310">
        <f t="shared" ca="1" si="76"/>
        <v>14</v>
      </c>
      <c r="Q150" s="304">
        <f t="shared" ca="1" si="77"/>
        <v>1049.9516666666652</v>
      </c>
      <c r="R150" s="306">
        <f t="shared" ca="1" si="78"/>
        <v>0.51597958219527029</v>
      </c>
      <c r="S150" s="307">
        <f t="shared" ca="1" si="79"/>
        <v>8.1322678613796118</v>
      </c>
      <c r="T150" s="304">
        <f t="shared" ca="1" si="59"/>
        <v>79.777547720133995</v>
      </c>
      <c r="U150" s="311">
        <f t="shared" ca="1" si="60"/>
        <v>0</v>
      </c>
      <c r="V150" s="306">
        <f t="shared" ca="1" si="61"/>
        <v>1.2079515793027762</v>
      </c>
      <c r="W150" s="304">
        <f t="shared" ca="1" si="62"/>
        <v>137.16640218560914</v>
      </c>
      <c r="Y150" s="314" t="str">
        <f t="shared" ca="1" si="80"/>
        <v/>
      </c>
      <c r="Z150" s="315" t="str">
        <f t="shared" ca="1" si="81"/>
        <v/>
      </c>
      <c r="AA150" s="316" t="str">
        <f t="shared" ca="1" si="82"/>
        <v/>
      </c>
      <c r="AC150" s="310" t="e">
        <f t="shared" ca="1" si="83"/>
        <v>#N/A</v>
      </c>
      <c r="AD150" s="323" t="e">
        <f t="shared" ca="1" si="84"/>
        <v>#N/A</v>
      </c>
      <c r="AE150" s="324">
        <f t="shared" ca="1" si="63"/>
        <v>140.1459925652083</v>
      </c>
      <c r="AG150" s="306">
        <f t="shared" ca="1" si="85"/>
        <v>102.80107626824567</v>
      </c>
      <c r="AH150" s="304">
        <f t="shared" ca="1" si="86"/>
        <v>112.42020068329603</v>
      </c>
    </row>
    <row r="151" spans="1:34" x14ac:dyDescent="0.3">
      <c r="A151" s="347">
        <f t="shared" ca="1" si="64"/>
        <v>0.01</v>
      </c>
      <c r="B151" s="304">
        <f t="shared" ca="1" si="65"/>
        <v>1.4700000000000011</v>
      </c>
      <c r="D151" s="306">
        <f t="shared" ca="1" si="66"/>
        <v>21.783654047636613</v>
      </c>
      <c r="E151" s="307">
        <f t="shared" ca="1" si="67"/>
        <v>98.941995284165969</v>
      </c>
      <c r="F151" s="304">
        <f t="shared" ca="1" si="68"/>
        <v>101.31162822933523</v>
      </c>
      <c r="G151" s="306">
        <f t="shared" ca="1" si="69"/>
        <v>37.763452919409524</v>
      </c>
      <c r="H151" s="307">
        <f t="shared" ca="1" si="70"/>
        <v>188.43091560154068</v>
      </c>
      <c r="I151" s="304">
        <f t="shared" ca="1" si="71"/>
        <v>192.17775191429263</v>
      </c>
      <c r="J151" s="306">
        <f t="shared" ca="1" si="72"/>
        <v>27.480684854042789</v>
      </c>
      <c r="K151" s="307">
        <f t="shared" ca="1" si="73"/>
        <v>142.02535462145951</v>
      </c>
      <c r="L151" s="304">
        <f t="shared" ca="1" si="58"/>
        <v>144.65956378822159</v>
      </c>
      <c r="M151" s="306">
        <f t="shared" ca="1" si="74"/>
        <v>1.3730065003193446</v>
      </c>
      <c r="N151" s="304">
        <f t="shared" ca="1" si="75"/>
        <v>78.667477712325962</v>
      </c>
      <c r="P151" s="310">
        <f t="shared" ca="1" si="76"/>
        <v>14</v>
      </c>
      <c r="Q151" s="304">
        <f t="shared" ca="1" si="77"/>
        <v>1038.5683333333318</v>
      </c>
      <c r="R151" s="306">
        <f t="shared" ca="1" si="78"/>
        <v>0.51038545080447029</v>
      </c>
      <c r="S151" s="307">
        <f t="shared" ca="1" si="79"/>
        <v>8.1271640068715669</v>
      </c>
      <c r="T151" s="304">
        <f t="shared" ca="1" si="59"/>
        <v>79.727478907410074</v>
      </c>
      <c r="U151" s="311">
        <f t="shared" ca="1" si="60"/>
        <v>0</v>
      </c>
      <c r="V151" s="306">
        <f t="shared" ca="1" si="61"/>
        <v>1.2077245715018061</v>
      </c>
      <c r="W151" s="304">
        <f t="shared" ca="1" si="62"/>
        <v>138.5978222214421</v>
      </c>
      <c r="Y151" s="314" t="str">
        <f t="shared" ca="1" si="80"/>
        <v/>
      </c>
      <c r="Z151" s="315" t="str">
        <f t="shared" ca="1" si="81"/>
        <v/>
      </c>
      <c r="AA151" s="316" t="str">
        <f t="shared" ca="1" si="82"/>
        <v/>
      </c>
      <c r="AC151" s="310" t="e">
        <f t="shared" ca="1" si="83"/>
        <v>#N/A</v>
      </c>
      <c r="AD151" s="323" t="e">
        <f t="shared" ca="1" si="84"/>
        <v>#N/A</v>
      </c>
      <c r="AE151" s="324">
        <f t="shared" ca="1" si="63"/>
        <v>142.02535462145951</v>
      </c>
      <c r="AG151" s="306">
        <f t="shared" ca="1" si="85"/>
        <v>101.29330548423208</v>
      </c>
      <c r="AH151" s="304">
        <f t="shared" ca="1" si="86"/>
        <v>110.91223585319328</v>
      </c>
    </row>
    <row r="152" spans="1:34" x14ac:dyDescent="0.3">
      <c r="A152" s="347">
        <f t="shared" ca="1" si="64"/>
        <v>0.01</v>
      </c>
      <c r="B152" s="304">
        <f t="shared" ca="1" si="65"/>
        <v>1.4800000000000011</v>
      </c>
      <c r="D152" s="306">
        <f t="shared" ca="1" si="66"/>
        <v>21.498068282808397</v>
      </c>
      <c r="E152" s="307">
        <f t="shared" ca="1" si="67"/>
        <v>97.460399739107558</v>
      </c>
      <c r="F152" s="304">
        <f t="shared" ca="1" si="68"/>
        <v>99.803288809532376</v>
      </c>
      <c r="G152" s="306">
        <f t="shared" ca="1" si="69"/>
        <v>37.978433602237608</v>
      </c>
      <c r="H152" s="307">
        <f t="shared" ca="1" si="70"/>
        <v>189.40551959893176</v>
      </c>
      <c r="I152" s="304">
        <f t="shared" ca="1" si="71"/>
        <v>193.17559958084999</v>
      </c>
      <c r="J152" s="306">
        <f t="shared" ca="1" si="72"/>
        <v>27.859394286651025</v>
      </c>
      <c r="K152" s="307">
        <f t="shared" ca="1" si="73"/>
        <v>143.91453679746186</v>
      </c>
      <c r="L152" s="304">
        <f t="shared" ca="1" si="58"/>
        <v>146.58628773404112</v>
      </c>
      <c r="M152" s="306">
        <f t="shared" ca="1" si="74"/>
        <v>1.3729067107087594</v>
      </c>
      <c r="N152" s="304">
        <f t="shared" ca="1" si="75"/>
        <v>78.661760188800173</v>
      </c>
      <c r="P152" s="310">
        <f t="shared" ca="1" si="76"/>
        <v>14</v>
      </c>
      <c r="Q152" s="304">
        <f t="shared" ca="1" si="77"/>
        <v>1027.1849999999986</v>
      </c>
      <c r="R152" s="306">
        <f t="shared" ca="1" si="78"/>
        <v>0.50479131941367028</v>
      </c>
      <c r="S152" s="307">
        <f t="shared" ca="1" si="79"/>
        <v>8.1221160936774304</v>
      </c>
      <c r="T152" s="304">
        <f t="shared" ca="1" si="59"/>
        <v>79.677958878975602</v>
      </c>
      <c r="U152" s="311">
        <f t="shared" ca="1" si="60"/>
        <v>0</v>
      </c>
      <c r="V152" s="306">
        <f t="shared" ca="1" si="61"/>
        <v>1.2074964202211196</v>
      </c>
      <c r="W152" s="304">
        <f t="shared" ca="1" si="62"/>
        <v>140.0143911718331</v>
      </c>
      <c r="Y152" s="314" t="str">
        <f t="shared" ca="1" si="80"/>
        <v/>
      </c>
      <c r="Z152" s="315" t="str">
        <f t="shared" ca="1" si="81"/>
        <v/>
      </c>
      <c r="AA152" s="316" t="str">
        <f t="shared" ca="1" si="82"/>
        <v/>
      </c>
      <c r="AC152" s="310" t="e">
        <f t="shared" ca="1" si="83"/>
        <v>#N/A</v>
      </c>
      <c r="AD152" s="323" t="e">
        <f t="shared" ca="1" si="84"/>
        <v>#N/A</v>
      </c>
      <c r="AE152" s="324">
        <f t="shared" ca="1" si="63"/>
        <v>143.91453679746186</v>
      </c>
      <c r="AG152" s="306">
        <f t="shared" ca="1" si="85"/>
        <v>99.784670473929594</v>
      </c>
      <c r="AH152" s="304">
        <f t="shared" ca="1" si="86"/>
        <v>109.40340762554072</v>
      </c>
    </row>
    <row r="153" spans="1:34" x14ac:dyDescent="0.3">
      <c r="A153" s="347">
        <f t="shared" ca="1" si="64"/>
        <v>0.01</v>
      </c>
      <c r="B153" s="304">
        <f t="shared" ca="1" si="65"/>
        <v>1.4900000000000011</v>
      </c>
      <c r="D153" s="306">
        <f t="shared" ca="1" si="66"/>
        <v>21.211980716768483</v>
      </c>
      <c r="E153" s="307">
        <f t="shared" ca="1" si="67"/>
        <v>95.978097304396016</v>
      </c>
      <c r="F153" s="304">
        <f t="shared" ca="1" si="68"/>
        <v>98.294167111282178</v>
      </c>
      <c r="G153" s="306">
        <f t="shared" ca="1" si="69"/>
        <v>38.19055340940529</v>
      </c>
      <c r="H153" s="307">
        <f t="shared" ca="1" si="70"/>
        <v>190.36530057197572</v>
      </c>
      <c r="I153" s="304">
        <f t="shared" ca="1" si="71"/>
        <v>194.15835297914768</v>
      </c>
      <c r="J153" s="306">
        <f t="shared" ca="1" si="72"/>
        <v>28.240239221709238</v>
      </c>
      <c r="K153" s="307">
        <f t="shared" ca="1" si="73"/>
        <v>145.81339089831641</v>
      </c>
      <c r="L153" s="304">
        <f t="shared" ca="1" si="58"/>
        <v>148.52291431481066</v>
      </c>
      <c r="M153" s="306">
        <f t="shared" ca="1" si="74"/>
        <v>1.3728073767580697</v>
      </c>
      <c r="N153" s="304">
        <f t="shared" ca="1" si="75"/>
        <v>78.656068772663303</v>
      </c>
      <c r="P153" s="310">
        <f t="shared" ca="1" si="76"/>
        <v>14</v>
      </c>
      <c r="Q153" s="304">
        <f t="shared" ca="1" si="77"/>
        <v>1015.8016666666653</v>
      </c>
      <c r="R153" s="306">
        <f t="shared" ca="1" si="78"/>
        <v>0.49919718802287016</v>
      </c>
      <c r="S153" s="307">
        <f t="shared" ca="1" si="79"/>
        <v>8.1171241217972021</v>
      </c>
      <c r="T153" s="304">
        <f t="shared" ca="1" si="59"/>
        <v>79.628987634830551</v>
      </c>
      <c r="U153" s="311">
        <f t="shared" ca="1" si="60"/>
        <v>0</v>
      </c>
      <c r="V153" s="306">
        <f t="shared" ca="1" si="61"/>
        <v>1.2072671440080809</v>
      </c>
      <c r="W153" s="304">
        <f t="shared" ca="1" si="62"/>
        <v>141.41576478168361</v>
      </c>
      <c r="Y153" s="314" t="str">
        <f t="shared" ca="1" si="80"/>
        <v/>
      </c>
      <c r="Z153" s="315" t="str">
        <f t="shared" ca="1" si="81"/>
        <v/>
      </c>
      <c r="AA153" s="316" t="str">
        <f t="shared" ca="1" si="82"/>
        <v/>
      </c>
      <c r="AC153" s="310" t="e">
        <f t="shared" ca="1" si="83"/>
        <v>#N/A</v>
      </c>
      <c r="AD153" s="323" t="e">
        <f t="shared" ca="1" si="84"/>
        <v>#N/A</v>
      </c>
      <c r="AE153" s="324">
        <f t="shared" ca="1" si="63"/>
        <v>145.81339089831641</v>
      </c>
      <c r="AG153" s="306">
        <f t="shared" ca="1" si="85"/>
        <v>98.275244039473733</v>
      </c>
      <c r="AH153" s="304">
        <f t="shared" ca="1" si="86"/>
        <v>107.89378877958136</v>
      </c>
    </row>
    <row r="154" spans="1:34" x14ac:dyDescent="0.3">
      <c r="A154" s="347">
        <f t="shared" ca="1" si="64"/>
        <v>0.01</v>
      </c>
      <c r="B154" s="304">
        <f t="shared" ca="1" si="65"/>
        <v>1.5000000000000011</v>
      </c>
      <c r="D154" s="306">
        <f t="shared" ca="1" si="66"/>
        <v>20.9254086931568</v>
      </c>
      <c r="E154" s="307">
        <f t="shared" ca="1" si="67"/>
        <v>94.49515820918181</v>
      </c>
      <c r="F154" s="304">
        <f t="shared" ca="1" si="68"/>
        <v>96.784335788152944</v>
      </c>
      <c r="G154" s="306">
        <f t="shared" ca="1" si="69"/>
        <v>38.399807496336855</v>
      </c>
      <c r="H154" s="307">
        <f t="shared" ca="1" si="70"/>
        <v>191.31025215406754</v>
      </c>
      <c r="I154" s="304">
        <f t="shared" ca="1" si="71"/>
        <v>195.12600491735753</v>
      </c>
      <c r="J154" s="306">
        <f t="shared" ca="1" si="72"/>
        <v>28.623191026237951</v>
      </c>
      <c r="K154" s="307">
        <f t="shared" ca="1" si="73"/>
        <v>147.72176866194664</v>
      </c>
      <c r="L154" s="304">
        <f t="shared" ca="1" si="58"/>
        <v>150.46929255212902</v>
      </c>
      <c r="M154" s="306">
        <f t="shared" ca="1" si="74"/>
        <v>1.3727084864504759</v>
      </c>
      <c r="N154" s="304">
        <f t="shared" ca="1" si="75"/>
        <v>78.650402775403421</v>
      </c>
      <c r="P154" s="310">
        <f t="shared" ca="1" si="76"/>
        <v>14</v>
      </c>
      <c r="Q154" s="304">
        <f t="shared" ca="1" si="77"/>
        <v>1004.4183333333319</v>
      </c>
      <c r="R154" s="306">
        <f t="shared" ca="1" si="78"/>
        <v>0.49360305663207016</v>
      </c>
      <c r="S154" s="307">
        <f t="shared" ca="1" si="79"/>
        <v>8.1121880912308821</v>
      </c>
      <c r="T154" s="304">
        <f t="shared" ca="1" si="59"/>
        <v>79.580565174974964</v>
      </c>
      <c r="U154" s="311">
        <f t="shared" ca="1" si="60"/>
        <v>0</v>
      </c>
      <c r="V154" s="306">
        <f t="shared" ca="1" si="61"/>
        <v>1.2070367614076991</v>
      </c>
      <c r="W154" s="304">
        <f t="shared" ca="1" si="62"/>
        <v>142.80160517971149</v>
      </c>
      <c r="Y154" s="314" t="str">
        <f t="shared" ca="1" si="80"/>
        <v/>
      </c>
      <c r="Z154" s="315" t="str">
        <f t="shared" ca="1" si="81"/>
        <v/>
      </c>
      <c r="AA154" s="316" t="str">
        <f t="shared" ca="1" si="82"/>
        <v/>
      </c>
      <c r="AC154" s="310" t="e">
        <f t="shared" ca="1" si="83"/>
        <v>#N/A</v>
      </c>
      <c r="AD154" s="323" t="e">
        <f t="shared" ca="1" si="84"/>
        <v>#N/A</v>
      </c>
      <c r="AE154" s="324">
        <f t="shared" ca="1" si="63"/>
        <v>147.72176866194664</v>
      </c>
      <c r="AG154" s="306">
        <f t="shared" ca="1" si="85"/>
        <v>96.765098411267999</v>
      </c>
      <c r="AH154" s="304">
        <f t="shared" ca="1" si="86"/>
        <v>106.38345152333652</v>
      </c>
    </row>
    <row r="155" spans="1:34" x14ac:dyDescent="0.3">
      <c r="A155" s="347">
        <f t="shared" ca="1" si="64"/>
        <v>0.01</v>
      </c>
      <c r="B155" s="304">
        <f t="shared" ca="1" si="65"/>
        <v>1.5100000000000011</v>
      </c>
      <c r="D155" s="306">
        <f t="shared" ca="1" si="66"/>
        <v>20.638369369357914</v>
      </c>
      <c r="E155" s="307">
        <f t="shared" ca="1" si="67"/>
        <v>93.011652126180522</v>
      </c>
      <c r="F155" s="304">
        <f t="shared" ca="1" si="68"/>
        <v>95.273866938776408</v>
      </c>
      <c r="G155" s="306">
        <f t="shared" ca="1" si="69"/>
        <v>38.606191190030437</v>
      </c>
      <c r="H155" s="307">
        <f t="shared" ca="1" si="70"/>
        <v>192.24036867532934</v>
      </c>
      <c r="I155" s="304">
        <f t="shared" ca="1" si="71"/>
        <v>196.07854892013998</v>
      </c>
      <c r="J155" s="306">
        <f t="shared" ca="1" si="72"/>
        <v>29.008221019669787</v>
      </c>
      <c r="K155" s="307">
        <f t="shared" ca="1" si="73"/>
        <v>149.63952176609362</v>
      </c>
      <c r="L155" s="304">
        <f t="shared" ca="1" si="58"/>
        <v>152.42527139917195</v>
      </c>
      <c r="M155" s="306">
        <f t="shared" ca="1" si="74"/>
        <v>1.372610028040433</v>
      </c>
      <c r="N155" s="304">
        <f t="shared" ca="1" si="75"/>
        <v>78.644761524050395</v>
      </c>
      <c r="P155" s="310">
        <f t="shared" ca="1" si="76"/>
        <v>14</v>
      </c>
      <c r="Q155" s="304">
        <f t="shared" ca="1" si="77"/>
        <v>993.03499999999849</v>
      </c>
      <c r="R155" s="306">
        <f t="shared" ca="1" si="78"/>
        <v>0.48800892524127004</v>
      </c>
      <c r="S155" s="307">
        <f t="shared" ca="1" si="79"/>
        <v>8.1073080019784687</v>
      </c>
      <c r="T155" s="304">
        <f t="shared" ca="1" si="59"/>
        <v>79.532691499408784</v>
      </c>
      <c r="U155" s="311">
        <f t="shared" ca="1" si="60"/>
        <v>0</v>
      </c>
      <c r="V155" s="306">
        <f t="shared" ca="1" si="61"/>
        <v>1.2068052909616125</v>
      </c>
      <c r="W155" s="304">
        <f t="shared" ca="1" si="62"/>
        <v>144.17158089980552</v>
      </c>
      <c r="Y155" s="314" t="str">
        <f t="shared" ca="1" si="80"/>
        <v/>
      </c>
      <c r="Z155" s="315" t="str">
        <f t="shared" ca="1" si="81"/>
        <v/>
      </c>
      <c r="AA155" s="316" t="str">
        <f t="shared" ca="1" si="82"/>
        <v/>
      </c>
      <c r="AC155" s="310" t="e">
        <f t="shared" ca="1" si="83"/>
        <v>#N/A</v>
      </c>
      <c r="AD155" s="323" t="e">
        <f t="shared" ca="1" si="84"/>
        <v>#N/A</v>
      </c>
      <c r="AE155" s="324">
        <f t="shared" ca="1" si="63"/>
        <v>149.63952176609362</v>
      </c>
      <c r="AG155" s="306">
        <f t="shared" ca="1" si="85"/>
        <v>95.254305238400704</v>
      </c>
      <c r="AH155" s="304">
        <f t="shared" ca="1" si="86"/>
        <v>104.87246748400334</v>
      </c>
    </row>
    <row r="156" spans="1:34" x14ac:dyDescent="0.3">
      <c r="A156" s="347">
        <f t="shared" ca="1" si="64"/>
        <v>0.01</v>
      </c>
      <c r="B156" s="304">
        <f t="shared" ca="1" si="65"/>
        <v>1.5200000000000011</v>
      </c>
      <c r="D156" s="306">
        <f t="shared" ca="1" si="66"/>
        <v>20.350879717151731</v>
      </c>
      <c r="E156" s="307">
        <f t="shared" ca="1" si="67"/>
        <v>91.527648162060217</v>
      </c>
      <c r="F156" s="304">
        <f t="shared" ca="1" si="68"/>
        <v>93.762832099611103</v>
      </c>
      <c r="G156" s="306">
        <f t="shared" ca="1" si="69"/>
        <v>38.809699987201952</v>
      </c>
      <c r="H156" s="307">
        <f t="shared" ca="1" si="70"/>
        <v>193.15564515694993</v>
      </c>
      <c r="I156" s="304">
        <f t="shared" ca="1" si="71"/>
        <v>197.01597922273763</v>
      </c>
      <c r="J156" s="306">
        <f t="shared" ca="1" si="72"/>
        <v>29.395300475555949</v>
      </c>
      <c r="K156" s="307">
        <f t="shared" ca="1" si="73"/>
        <v>151.56650183525502</v>
      </c>
      <c r="L156" s="304">
        <f t="shared" ca="1" si="58"/>
        <v>154.39069974782998</v>
      </c>
      <c r="M156" s="306">
        <f t="shared" ca="1" si="74"/>
        <v>1.3725119900435039</v>
      </c>
      <c r="N156" s="304">
        <f t="shared" ca="1" si="75"/>
        <v>78.639144360594443</v>
      </c>
      <c r="P156" s="310">
        <f t="shared" ca="1" si="76"/>
        <v>14</v>
      </c>
      <c r="Q156" s="304">
        <f t="shared" ca="1" si="77"/>
        <v>981.65166666666528</v>
      </c>
      <c r="R156" s="306">
        <f t="shared" ca="1" si="78"/>
        <v>0.48241479385047004</v>
      </c>
      <c r="S156" s="307">
        <f t="shared" ca="1" si="79"/>
        <v>8.1024838540399635</v>
      </c>
      <c r="T156" s="304">
        <f t="shared" ca="1" si="59"/>
        <v>79.48536660813204</v>
      </c>
      <c r="U156" s="311">
        <f t="shared" ca="1" si="60"/>
        <v>0</v>
      </c>
      <c r="V156" s="306">
        <f t="shared" ca="1" si="61"/>
        <v>1.2065727512070807</v>
      </c>
      <c r="W156" s="304">
        <f t="shared" ca="1" si="62"/>
        <v>145.52536690055078</v>
      </c>
      <c r="Y156" s="314" t="str">
        <f t="shared" ca="1" si="80"/>
        <v/>
      </c>
      <c r="Z156" s="315" t="str">
        <f t="shared" ca="1" si="81"/>
        <v/>
      </c>
      <c r="AA156" s="316" t="str">
        <f t="shared" ca="1" si="82"/>
        <v/>
      </c>
      <c r="AC156" s="310" t="e">
        <f t="shared" ca="1" si="83"/>
        <v>#N/A</v>
      </c>
      <c r="AD156" s="323" t="e">
        <f t="shared" ca="1" si="84"/>
        <v>#N/A</v>
      </c>
      <c r="AE156" s="324">
        <f t="shared" ca="1" si="63"/>
        <v>151.56650183525502</v>
      </c>
      <c r="AG156" s="306">
        <f t="shared" ca="1" si="85"/>
        <v>93.742935579313524</v>
      </c>
      <c r="AH156" s="304">
        <f t="shared" ca="1" si="86"/>
        <v>103.36090769860472</v>
      </c>
    </row>
    <row r="157" spans="1:34" x14ac:dyDescent="0.3">
      <c r="A157" s="347">
        <f t="shared" ca="1" si="64"/>
        <v>0.01</v>
      </c>
      <c r="B157" s="304">
        <f t="shared" ca="1" si="65"/>
        <v>1.5300000000000011</v>
      </c>
      <c r="D157" s="306">
        <f t="shared" ca="1" si="66"/>
        <v>20.062956523292186</v>
      </c>
      <c r="E157" s="307">
        <f t="shared" ca="1" si="67"/>
        <v>90.043214848098927</v>
      </c>
      <c r="F157" s="304">
        <f t="shared" ca="1" si="68"/>
        <v>92.251302238160392</v>
      </c>
      <c r="G157" s="306">
        <f t="shared" ca="1" si="69"/>
        <v>39.010329552434875</v>
      </c>
      <c r="H157" s="307">
        <f t="shared" ca="1" si="70"/>
        <v>194.05607730543093</v>
      </c>
      <c r="I157" s="304">
        <f t="shared" ca="1" si="71"/>
        <v>197.93829076497795</v>
      </c>
      <c r="J157" s="306">
        <f t="shared" ca="1" si="72"/>
        <v>29.784400623254133</v>
      </c>
      <c r="K157" s="307">
        <f t="shared" ca="1" si="73"/>
        <v>153.50256044756694</v>
      </c>
      <c r="L157" s="304">
        <f t="shared" ca="1" si="58"/>
        <v>156.36542643578676</v>
      </c>
      <c r="M157" s="306">
        <f t="shared" ca="1" si="74"/>
        <v>1.3724143612266366</v>
      </c>
      <c r="N157" s="304">
        <f t="shared" ca="1" si="75"/>
        <v>78.633550641429096</v>
      </c>
      <c r="P157" s="310">
        <f t="shared" ca="1" si="76"/>
        <v>14</v>
      </c>
      <c r="Q157" s="304">
        <f t="shared" ca="1" si="77"/>
        <v>970.26833333333184</v>
      </c>
      <c r="R157" s="306">
        <f t="shared" ca="1" si="78"/>
        <v>0.47682066245966992</v>
      </c>
      <c r="S157" s="307">
        <f t="shared" ca="1" si="79"/>
        <v>8.0977156474153666</v>
      </c>
      <c r="T157" s="304">
        <f t="shared" ca="1" si="59"/>
        <v>79.438590501144745</v>
      </c>
      <c r="U157" s="311">
        <f t="shared" ca="1" si="60"/>
        <v>0</v>
      </c>
      <c r="V157" s="306">
        <f t="shared" ca="1" si="61"/>
        <v>1.2063391606759899</v>
      </c>
      <c r="W157" s="304">
        <f t="shared" ca="1" si="62"/>
        <v>146.86264458294232</v>
      </c>
      <c r="Y157" s="314" t="str">
        <f t="shared" ca="1" si="80"/>
        <v/>
      </c>
      <c r="Z157" s="315" t="str">
        <f t="shared" ca="1" si="81"/>
        <v/>
      </c>
      <c r="AA157" s="316" t="str">
        <f t="shared" ca="1" si="82"/>
        <v/>
      </c>
      <c r="AC157" s="310" t="e">
        <f t="shared" ca="1" si="83"/>
        <v>#N/A</v>
      </c>
      <c r="AD157" s="323" t="e">
        <f t="shared" ca="1" si="84"/>
        <v>#N/A</v>
      </c>
      <c r="AE157" s="324">
        <f t="shared" ca="1" si="63"/>
        <v>153.50256044756694</v>
      </c>
      <c r="AG157" s="306">
        <f t="shared" ca="1" si="85"/>
        <v>92.231059892722328</v>
      </c>
      <c r="AH157" s="304">
        <f t="shared" ca="1" si="86"/>
        <v>101.84884260489227</v>
      </c>
    </row>
    <row r="158" spans="1:34" x14ac:dyDescent="0.3">
      <c r="A158" s="347">
        <f t="shared" ca="1" si="64"/>
        <v>0.01</v>
      </c>
      <c r="B158" s="304">
        <f t="shared" ca="1" si="65"/>
        <v>1.5400000000000011</v>
      </c>
      <c r="D158" s="306">
        <f t="shared" ca="1" si="66"/>
        <v>19.774616390020384</v>
      </c>
      <c r="E158" s="307">
        <f t="shared" ca="1" si="67"/>
        <v>88.558420131111717</v>
      </c>
      <c r="F158" s="304">
        <f t="shared" ca="1" si="68"/>
        <v>90.739347746669182</v>
      </c>
      <c r="G158" s="306">
        <f t="shared" ca="1" si="69"/>
        <v>39.208075716335081</v>
      </c>
      <c r="H158" s="307">
        <f t="shared" ca="1" si="70"/>
        <v>194.94166150674204</v>
      </c>
      <c r="I158" s="304">
        <f t="shared" ca="1" si="71"/>
        <v>198.84547918518805</v>
      </c>
      <c r="J158" s="306">
        <f t="shared" ca="1" si="72"/>
        <v>30.175492649597981</v>
      </c>
      <c r="K158" s="307">
        <f t="shared" ca="1" si="73"/>
        <v>155.4475491416278</v>
      </c>
      <c r="L158" s="304">
        <f t="shared" ca="1" si="58"/>
        <v>158.34930025353674</v>
      </c>
      <c r="M158" s="306">
        <f t="shared" ca="1" si="74"/>
        <v>1.3723171305988422</v>
      </c>
      <c r="N158" s="304">
        <f t="shared" ca="1" si="75"/>
        <v>78.627979736817068</v>
      </c>
      <c r="P158" s="310">
        <f t="shared" ca="1" si="76"/>
        <v>14</v>
      </c>
      <c r="Q158" s="304">
        <f t="shared" ca="1" si="77"/>
        <v>958.88499999999851</v>
      </c>
      <c r="R158" s="306">
        <f t="shared" ca="1" si="78"/>
        <v>0.47122653106886986</v>
      </c>
      <c r="S158" s="307">
        <f t="shared" ca="1" si="79"/>
        <v>8.0930033821046781</v>
      </c>
      <c r="T158" s="304">
        <f t="shared" ca="1" si="59"/>
        <v>79.392363178446899</v>
      </c>
      <c r="U158" s="311">
        <f t="shared" ca="1" si="60"/>
        <v>0</v>
      </c>
      <c r="V158" s="306">
        <f t="shared" ca="1" si="61"/>
        <v>1.2061045378938657</v>
      </c>
      <c r="W158" s="304">
        <f t="shared" ca="1" si="62"/>
        <v>148.18310180630576</v>
      </c>
      <c r="Y158" s="314" t="str">
        <f t="shared" ca="1" si="80"/>
        <v/>
      </c>
      <c r="Z158" s="315" t="str">
        <f t="shared" ca="1" si="81"/>
        <v/>
      </c>
      <c r="AA158" s="316" t="str">
        <f t="shared" ca="1" si="82"/>
        <v/>
      </c>
      <c r="AC158" s="310" t="e">
        <f t="shared" ca="1" si="83"/>
        <v>#N/A</v>
      </c>
      <c r="AD158" s="323" t="e">
        <f t="shared" ca="1" si="84"/>
        <v>#N/A</v>
      </c>
      <c r="AE158" s="324">
        <f t="shared" ca="1" si="63"/>
        <v>155.4475491416278</v>
      </c>
      <c r="AG158" s="306">
        <f t="shared" ca="1" si="85"/>
        <v>90.718748028790586</v>
      </c>
      <c r="AH158" s="304">
        <f t="shared" ca="1" si="86"/>
        <v>100.3363420325027</v>
      </c>
    </row>
    <row r="159" spans="1:34" x14ac:dyDescent="0.3">
      <c r="A159" s="347">
        <f t="shared" ca="1" si="64"/>
        <v>0.01</v>
      </c>
      <c r="B159" s="304">
        <f t="shared" ca="1" si="65"/>
        <v>1.5500000000000012</v>
      </c>
      <c r="D159" s="306">
        <f t="shared" ca="1" si="66"/>
        <v>19.485875735518043</v>
      </c>
      <c r="E159" s="307">
        <f t="shared" ca="1" si="67"/>
        <v>87.073331364645341</v>
      </c>
      <c r="F159" s="304">
        <f t="shared" ca="1" si="68"/>
        <v>89.22703843632479</v>
      </c>
      <c r="G159" s="306">
        <f t="shared" ca="1" si="69"/>
        <v>39.402934473690259</v>
      </c>
      <c r="H159" s="307">
        <f t="shared" ca="1" si="70"/>
        <v>195.81239482038848</v>
      </c>
      <c r="I159" s="304">
        <f t="shared" ca="1" si="71"/>
        <v>199.7375408140233</v>
      </c>
      <c r="J159" s="306">
        <f t="shared" ca="1" si="72"/>
        <v>30.568547700548109</v>
      </c>
      <c r="K159" s="307">
        <f t="shared" ca="1" si="73"/>
        <v>157.40131942326346</v>
      </c>
      <c r="L159" s="304">
        <f t="shared" ca="1" si="58"/>
        <v>160.34216995134156</v>
      </c>
      <c r="M159" s="306">
        <f t="shared" ca="1" si="74"/>
        <v>1.3722202874022562</v>
      </c>
      <c r="N159" s="304">
        <f t="shared" ca="1" si="75"/>
        <v>78.622431030378124</v>
      </c>
      <c r="P159" s="310">
        <f t="shared" ca="1" si="76"/>
        <v>14</v>
      </c>
      <c r="Q159" s="304">
        <f t="shared" ca="1" si="77"/>
        <v>947.50166666666519</v>
      </c>
      <c r="R159" s="306">
        <f t="shared" ca="1" si="78"/>
        <v>0.46563239967806985</v>
      </c>
      <c r="S159" s="307">
        <f t="shared" ca="1" si="79"/>
        <v>8.0883470581078978</v>
      </c>
      <c r="T159" s="304">
        <f t="shared" ca="1" si="59"/>
        <v>79.346684640038475</v>
      </c>
      <c r="U159" s="311">
        <f t="shared" ca="1" si="60"/>
        <v>0</v>
      </c>
      <c r="V159" s="306">
        <f t="shared" ca="1" si="61"/>
        <v>1.205868901378899</v>
      </c>
      <c r="W159" s="304">
        <f t="shared" ca="1" si="62"/>
        <v>149.48643290244183</v>
      </c>
      <c r="Y159" s="314" t="str">
        <f t="shared" ca="1" si="80"/>
        <v/>
      </c>
      <c r="Z159" s="315" t="str">
        <f t="shared" ca="1" si="81"/>
        <v/>
      </c>
      <c r="AA159" s="316" t="str">
        <f t="shared" ca="1" si="82"/>
        <v/>
      </c>
      <c r="AC159" s="310" t="e">
        <f t="shared" ca="1" si="83"/>
        <v>#N/A</v>
      </c>
      <c r="AD159" s="323" t="e">
        <f t="shared" ca="1" si="84"/>
        <v>#N/A</v>
      </c>
      <c r="AE159" s="324">
        <f t="shared" ca="1" si="63"/>
        <v>157.40131942326346</v>
      </c>
      <c r="AG159" s="306">
        <f t="shared" ca="1" si="85"/>
        <v>89.206069220555264</v>
      </c>
      <c r="AH159" s="304">
        <f t="shared" ca="1" si="86"/>
        <v>98.823475194367276</v>
      </c>
    </row>
    <row r="160" spans="1:34" x14ac:dyDescent="0.3">
      <c r="A160" s="347">
        <f t="shared" ca="1" si="64"/>
        <v>0.01</v>
      </c>
      <c r="B160" s="304">
        <f t="shared" ca="1" si="65"/>
        <v>1.5600000000000012</v>
      </c>
      <c r="D160" s="306">
        <f t="shared" ca="1" si="66"/>
        <v>18.808981048503068</v>
      </c>
      <c r="E160" s="307">
        <f t="shared" ca="1" si="67"/>
        <v>83.66099835160459</v>
      </c>
      <c r="F160" s="304">
        <f t="shared" ca="1" si="68"/>
        <v>85.749288121069171</v>
      </c>
      <c r="G160" s="306">
        <f t="shared" ca="1" si="69"/>
        <v>39.59102428417529</v>
      </c>
      <c r="H160" s="307">
        <f t="shared" ca="1" si="70"/>
        <v>196.64900480390452</v>
      </c>
      <c r="I160" s="304">
        <f t="shared" ca="1" si="71"/>
        <v>200.59481621975235</v>
      </c>
      <c r="J160" s="306">
        <f t="shared" ca="1" si="72"/>
        <v>30.963517494337438</v>
      </c>
      <c r="K160" s="307">
        <f t="shared" ca="1" si="73"/>
        <v>159.36362642138494</v>
      </c>
      <c r="L160" s="304">
        <f t="shared" ca="1" si="58"/>
        <v>162.34378596606916</v>
      </c>
      <c r="M160" s="306">
        <f t="shared" ca="1" si="74"/>
        <v>1.3721238116507499</v>
      </c>
      <c r="N160" s="304">
        <f t="shared" ca="1" si="75"/>
        <v>78.616903376991459</v>
      </c>
      <c r="P160" s="310">
        <f t="shared" ca="1" si="76"/>
        <v>15</v>
      </c>
      <c r="Q160" s="304">
        <f t="shared" ca="1" si="77"/>
        <v>920.23599999999465</v>
      </c>
      <c r="R160" s="306">
        <f t="shared" ca="1" si="78"/>
        <v>0.45223318546508778</v>
      </c>
      <c r="S160" s="307">
        <f t="shared" ca="1" si="79"/>
        <v>8.0838247262532477</v>
      </c>
      <c r="T160" s="304">
        <f t="shared" ca="1" si="59"/>
        <v>79.30232056454436</v>
      </c>
      <c r="U160" s="311">
        <f t="shared" ca="1" si="60"/>
        <v>0</v>
      </c>
      <c r="V160" s="306">
        <f t="shared" ca="1" si="61"/>
        <v>1.2056322812580913</v>
      </c>
      <c r="W160" s="304">
        <f t="shared" ca="1" si="62"/>
        <v>150.74279587610425</v>
      </c>
      <c r="Y160" s="314" t="str">
        <f t="shared" ca="1" si="80"/>
        <v/>
      </c>
      <c r="Z160" s="315" t="str">
        <f t="shared" ca="1" si="81"/>
        <v/>
      </c>
      <c r="AA160" s="316" t="str">
        <f t="shared" ca="1" si="82"/>
        <v/>
      </c>
      <c r="AC160" s="310" t="e">
        <f t="shared" ca="1" si="83"/>
        <v>#N/A</v>
      </c>
      <c r="AD160" s="323" t="e">
        <f t="shared" ca="1" si="84"/>
        <v>#N/A</v>
      </c>
      <c r="AE160" s="324">
        <f t="shared" ca="1" si="63"/>
        <v>159.36362642138494</v>
      </c>
      <c r="AG160" s="306">
        <f t="shared" ca="1" si="85"/>
        <v>85.727447220383183</v>
      </c>
      <c r="AH160" s="304">
        <f t="shared" ca="1" si="86"/>
        <v>95.344665823152454</v>
      </c>
    </row>
    <row r="161" spans="1:34" x14ac:dyDescent="0.3">
      <c r="A161" s="347">
        <f t="shared" ca="1" si="64"/>
        <v>0.01</v>
      </c>
      <c r="B161" s="304">
        <f t="shared" ca="1" si="65"/>
        <v>1.5700000000000012</v>
      </c>
      <c r="D161" s="306">
        <f t="shared" ca="1" si="66"/>
        <v>17.74331832236264</v>
      </c>
      <c r="E161" s="307">
        <f t="shared" ca="1" si="67"/>
        <v>78.321235629742205</v>
      </c>
      <c r="F161" s="304">
        <f t="shared" ca="1" si="68"/>
        <v>80.305923166714734</v>
      </c>
      <c r="G161" s="306">
        <f t="shared" ca="1" si="69"/>
        <v>39.768457467398918</v>
      </c>
      <c r="H161" s="307">
        <f t="shared" ca="1" si="70"/>
        <v>197.43221716020193</v>
      </c>
      <c r="I161" s="304">
        <f t="shared" ca="1" si="71"/>
        <v>201.39764294084836</v>
      </c>
      <c r="J161" s="306">
        <f t="shared" ca="1" si="72"/>
        <v>31.360314903095308</v>
      </c>
      <c r="K161" s="307">
        <f t="shared" ca="1" si="73"/>
        <v>161.33403253120548</v>
      </c>
      <c r="L161" s="304">
        <f t="shared" ca="1" si="58"/>
        <v>164.35370212928387</v>
      </c>
      <c r="M161" s="306">
        <f t="shared" ca="1" si="74"/>
        <v>1.3720276744092508</v>
      </c>
      <c r="N161" s="304">
        <f t="shared" ca="1" si="75"/>
        <v>78.611395118799535</v>
      </c>
      <c r="P161" s="310">
        <f t="shared" ca="1" si="76"/>
        <v>15</v>
      </c>
      <c r="Q161" s="304">
        <f t="shared" ca="1" si="77"/>
        <v>877.08799999999474</v>
      </c>
      <c r="R161" s="306">
        <f t="shared" ca="1" si="78"/>
        <v>0.43102888842992759</v>
      </c>
      <c r="S161" s="307">
        <f t="shared" ca="1" si="79"/>
        <v>8.0795144373689478</v>
      </c>
      <c r="T161" s="304">
        <f t="shared" ca="1" si="59"/>
        <v>79.260036630589383</v>
      </c>
      <c r="U161" s="311">
        <f t="shared" ca="1" si="60"/>
        <v>0</v>
      </c>
      <c r="V161" s="306">
        <f t="shared" ca="1" si="61"/>
        <v>1.2053947308712971</v>
      </c>
      <c r="W161" s="304">
        <f t="shared" ca="1" si="62"/>
        <v>151.92188567127994</v>
      </c>
      <c r="Y161" s="314" t="str">
        <f t="shared" ca="1" si="80"/>
        <v/>
      </c>
      <c r="Z161" s="315" t="str">
        <f t="shared" ca="1" si="81"/>
        <v/>
      </c>
      <c r="AA161" s="316" t="str">
        <f t="shared" ca="1" si="82"/>
        <v/>
      </c>
      <c r="AC161" s="310" t="e">
        <f t="shared" ca="1" si="83"/>
        <v>#N/A</v>
      </c>
      <c r="AD161" s="323" t="e">
        <f t="shared" ca="1" si="84"/>
        <v>#N/A</v>
      </c>
      <c r="AE161" s="324">
        <f t="shared" ca="1" si="63"/>
        <v>161.33403253120548</v>
      </c>
      <c r="AG161" s="306">
        <f t="shared" ca="1" si="85"/>
        <v>80.282579040034307</v>
      </c>
      <c r="AH161" s="304">
        <f t="shared" ca="1" si="86"/>
        <v>89.899610893005715</v>
      </c>
    </row>
    <row r="162" spans="1:34" x14ac:dyDescent="0.3">
      <c r="A162" s="347">
        <f t="shared" ca="1" si="64"/>
        <v>0.01</v>
      </c>
      <c r="B162" s="304">
        <f t="shared" ca="1" si="65"/>
        <v>1.5800000000000012</v>
      </c>
      <c r="D162" s="306">
        <f t="shared" ca="1" si="66"/>
        <v>16.676901276115878</v>
      </c>
      <c r="E162" s="307">
        <f t="shared" ca="1" si="67"/>
        <v>72.983193500263468</v>
      </c>
      <c r="F162" s="304">
        <f t="shared" ca="1" si="68"/>
        <v>74.864314393910092</v>
      </c>
      <c r="G162" s="306">
        <f t="shared" ca="1" si="69"/>
        <v>39.935226480160075</v>
      </c>
      <c r="H162" s="307">
        <f t="shared" ca="1" si="70"/>
        <v>198.16204909520457</v>
      </c>
      <c r="I162" s="304">
        <f t="shared" ca="1" si="71"/>
        <v>202.14603635894505</v>
      </c>
      <c r="J162" s="306">
        <f t="shared" ca="1" si="72"/>
        <v>31.758833322833102</v>
      </c>
      <c r="K162" s="307">
        <f t="shared" ca="1" si="73"/>
        <v>163.31200386248253</v>
      </c>
      <c r="L162" s="304">
        <f t="shared" ca="1" si="58"/>
        <v>166.37137403894639</v>
      </c>
      <c r="M162" s="306">
        <f t="shared" ca="1" si="74"/>
        <v>1.3719318473544884</v>
      </c>
      <c r="N162" s="304">
        <f t="shared" ca="1" si="75"/>
        <v>78.605904632998474</v>
      </c>
      <c r="P162" s="310">
        <f t="shared" ca="1" si="76"/>
        <v>15</v>
      </c>
      <c r="Q162" s="304">
        <f t="shared" ca="1" si="77"/>
        <v>833.93999999999471</v>
      </c>
      <c r="R162" s="306">
        <f t="shared" ca="1" si="78"/>
        <v>0.40982459139476735</v>
      </c>
      <c r="S162" s="307">
        <f t="shared" ca="1" si="79"/>
        <v>8.075416191455</v>
      </c>
      <c r="T162" s="304">
        <f t="shared" ca="1" si="59"/>
        <v>79.219832838173559</v>
      </c>
      <c r="U162" s="311">
        <f t="shared" ca="1" si="60"/>
        <v>0</v>
      </c>
      <c r="V162" s="306">
        <f t="shared" ca="1" si="61"/>
        <v>1.2051563151239024</v>
      </c>
      <c r="W162" s="304">
        <f t="shared" ca="1" si="62"/>
        <v>153.02279416693122</v>
      </c>
      <c r="Y162" s="314" t="str">
        <f t="shared" ca="1" si="80"/>
        <v/>
      </c>
      <c r="Z162" s="315" t="str">
        <f t="shared" ca="1" si="81"/>
        <v/>
      </c>
      <c r="AA162" s="316" t="str">
        <f t="shared" ca="1" si="82"/>
        <v/>
      </c>
      <c r="AC162" s="310" t="e">
        <f t="shared" ca="1" si="83"/>
        <v>#N/A</v>
      </c>
      <c r="AD162" s="323" t="e">
        <f t="shared" ca="1" si="84"/>
        <v>#N/A</v>
      </c>
      <c r="AE162" s="324">
        <f t="shared" ca="1" si="63"/>
        <v>163.31200386248253</v>
      </c>
      <c r="AG162" s="306">
        <f t="shared" ca="1" si="85"/>
        <v>74.839248996092493</v>
      </c>
      <c r="AH162" s="304">
        <f t="shared" ca="1" si="86"/>
        <v>84.456094665485125</v>
      </c>
    </row>
    <row r="163" spans="1:34" x14ac:dyDescent="0.3">
      <c r="A163" s="347">
        <f t="shared" ca="1" si="64"/>
        <v>0.01</v>
      </c>
      <c r="B163" s="304">
        <f t="shared" ca="1" si="65"/>
        <v>1.5900000000000012</v>
      </c>
      <c r="D163" s="306">
        <f t="shared" ca="1" si="66"/>
        <v>15.609845433132472</v>
      </c>
      <c r="E163" s="307">
        <f t="shared" ca="1" si="67"/>
        <v>67.647403644015924</v>
      </c>
      <c r="F163" s="304">
        <f t="shared" ca="1" si="68"/>
        <v>69.425056674249149</v>
      </c>
      <c r="G163" s="306">
        <f t="shared" ca="1" si="69"/>
        <v>40.091324934491404</v>
      </c>
      <c r="H163" s="307">
        <f t="shared" ca="1" si="70"/>
        <v>198.83852313164473</v>
      </c>
      <c r="I163" s="304">
        <f t="shared" ca="1" si="71"/>
        <v>202.84001729485382</v>
      </c>
      <c r="J163" s="306">
        <f t="shared" ca="1" si="72"/>
        <v>32.158966079906357</v>
      </c>
      <c r="K163" s="307">
        <f t="shared" ca="1" si="73"/>
        <v>165.29700672361676</v>
      </c>
      <c r="L163" s="304">
        <f t="shared" ca="1" si="58"/>
        <v>168.39625747360293</v>
      </c>
      <c r="M163" s="306">
        <f t="shared" ca="1" si="74"/>
        <v>1.3718363027227853</v>
      </c>
      <c r="N163" s="304">
        <f t="shared" ca="1" si="75"/>
        <v>78.60043032884677</v>
      </c>
      <c r="P163" s="310">
        <f t="shared" ca="1" si="76"/>
        <v>15</v>
      </c>
      <c r="Q163" s="304">
        <f t="shared" ca="1" si="77"/>
        <v>790.7919999999948</v>
      </c>
      <c r="R163" s="306">
        <f t="shared" ca="1" si="78"/>
        <v>0.3886202943596071</v>
      </c>
      <c r="S163" s="307">
        <f t="shared" ca="1" si="79"/>
        <v>8.0715299885114042</v>
      </c>
      <c r="T163" s="304">
        <f t="shared" ca="1" si="59"/>
        <v>79.181709187296875</v>
      </c>
      <c r="U163" s="311">
        <f t="shared" ca="1" si="60"/>
        <v>0</v>
      </c>
      <c r="V163" s="306">
        <f t="shared" ca="1" si="61"/>
        <v>1.204917098848689</v>
      </c>
      <c r="W163" s="304">
        <f t="shared" ca="1" si="62"/>
        <v>154.0446897561601</v>
      </c>
      <c r="Y163" s="314" t="str">
        <f t="shared" ca="1" si="80"/>
        <v/>
      </c>
      <c r="Z163" s="315" t="str">
        <f t="shared" ca="1" si="81"/>
        <v/>
      </c>
      <c r="AA163" s="316" t="str">
        <f t="shared" ca="1" si="82"/>
        <v/>
      </c>
      <c r="AC163" s="310" t="e">
        <f t="shared" ca="1" si="83"/>
        <v>#N/A</v>
      </c>
      <c r="AD163" s="323" t="e">
        <f t="shared" ca="1" si="84"/>
        <v>#N/A</v>
      </c>
      <c r="AE163" s="324">
        <f t="shared" ca="1" si="63"/>
        <v>165.29700672361676</v>
      </c>
      <c r="AG163" s="306">
        <f t="shared" ca="1" si="85"/>
        <v>69.398001006811583</v>
      </c>
      <c r="AH163" s="304">
        <f t="shared" ca="1" si="86"/>
        <v>79.014661004893881</v>
      </c>
    </row>
    <row r="164" spans="1:34" x14ac:dyDescent="0.3">
      <c r="A164" s="347">
        <f t="shared" ca="1" si="64"/>
        <v>0.01</v>
      </c>
      <c r="B164" s="304">
        <f t="shared" ca="1" si="65"/>
        <v>1.6000000000000012</v>
      </c>
      <c r="D164" s="306">
        <f t="shared" ca="1" si="66"/>
        <v>14.542264145698091</v>
      </c>
      <c r="E164" s="307">
        <f t="shared" ca="1" si="67"/>
        <v>62.314389264900669</v>
      </c>
      <c r="F164" s="304">
        <f t="shared" ca="1" si="68"/>
        <v>63.988753355107832</v>
      </c>
      <c r="G164" s="306">
        <f t="shared" ca="1" si="69"/>
        <v>40.236747575948385</v>
      </c>
      <c r="H164" s="307">
        <f t="shared" ca="1" si="70"/>
        <v>199.46166702429375</v>
      </c>
      <c r="I164" s="304">
        <f t="shared" ca="1" si="71"/>
        <v>203.47961192119672</v>
      </c>
      <c r="J164" s="306">
        <f t="shared" ca="1" si="72"/>
        <v>32.560606442458557</v>
      </c>
      <c r="K164" s="307">
        <f t="shared" ca="1" si="73"/>
        <v>167.28850767439644</v>
      </c>
      <c r="L164" s="304">
        <f t="shared" ca="1" si="58"/>
        <v>170.42780844635442</v>
      </c>
      <c r="M164" s="306">
        <f t="shared" ca="1" si="74"/>
        <v>1.3717410132602306</v>
      </c>
      <c r="N164" s="304">
        <f t="shared" ca="1" si="75"/>
        <v>78.594970644810303</v>
      </c>
      <c r="P164" s="310">
        <f t="shared" ca="1" si="76"/>
        <v>15</v>
      </c>
      <c r="Q164" s="304">
        <f t="shared" ca="1" si="77"/>
        <v>747.64399999999478</v>
      </c>
      <c r="R164" s="306">
        <f t="shared" ca="1" si="78"/>
        <v>0.36741599732444685</v>
      </c>
      <c r="S164" s="307">
        <f t="shared" ca="1" si="79"/>
        <v>8.0678558285381605</v>
      </c>
      <c r="T164" s="304">
        <f t="shared" ca="1" si="59"/>
        <v>79.145665677959357</v>
      </c>
      <c r="U164" s="311">
        <f t="shared" ca="1" si="60"/>
        <v>0</v>
      </c>
      <c r="V164" s="306">
        <f t="shared" ca="1" si="61"/>
        <v>1.2046771467990702</v>
      </c>
      <c r="W164" s="304">
        <f t="shared" ca="1" si="62"/>
        <v>154.98681716922152</v>
      </c>
      <c r="Y164" s="314" t="str">
        <f t="shared" ca="1" si="80"/>
        <v/>
      </c>
      <c r="Z164" s="315" t="str">
        <f t="shared" ca="1" si="81"/>
        <v/>
      </c>
      <c r="AA164" s="316" t="str">
        <f t="shared" ca="1" si="82"/>
        <v/>
      </c>
      <c r="AC164" s="310" t="e">
        <f t="shared" ca="1" si="83"/>
        <v>#N/A</v>
      </c>
      <c r="AD164" s="323" t="e">
        <f t="shared" ca="1" si="84"/>
        <v>#N/A</v>
      </c>
      <c r="AE164" s="324">
        <f t="shared" ca="1" si="63"/>
        <v>167.28850767439644</v>
      </c>
      <c r="AG164" s="306">
        <f t="shared" ca="1" si="85"/>
        <v>63.959370253715718</v>
      </c>
      <c r="AH164" s="304">
        <f t="shared" ca="1" si="86"/>
        <v>73.575845039783104</v>
      </c>
    </row>
    <row r="165" spans="1:34" x14ac:dyDescent="0.3">
      <c r="A165" s="347">
        <f t="shared" ca="1" si="64"/>
        <v>0.01</v>
      </c>
      <c r="B165" s="304">
        <f t="shared" ca="1" si="65"/>
        <v>1.6100000000000012</v>
      </c>
      <c r="D165" s="306">
        <f t="shared" ca="1" si="66"/>
        <v>12.979995543481541</v>
      </c>
      <c r="E165" s="307">
        <f t="shared" ca="1" si="67"/>
        <v>54.534453889665741</v>
      </c>
      <c r="F165" s="304">
        <f t="shared" ca="1" si="68"/>
        <v>56.057889233834693</v>
      </c>
      <c r="G165" s="306">
        <f t="shared" ca="1" si="69"/>
        <v>40.366547531383198</v>
      </c>
      <c r="H165" s="307">
        <f t="shared" ca="1" si="70"/>
        <v>200.00701156319042</v>
      </c>
      <c r="I165" s="304">
        <f t="shared" ca="1" si="71"/>
        <v>204.0398559939739</v>
      </c>
      <c r="J165" s="306">
        <f t="shared" ca="1" si="72"/>
        <v>32.963622917995217</v>
      </c>
      <c r="K165" s="307">
        <f t="shared" ca="1" si="73"/>
        <v>169.28585106733385</v>
      </c>
      <c r="L165" s="304">
        <f t="shared" ca="1" si="58"/>
        <v>172.4653582823847</v>
      </c>
      <c r="M165" s="306">
        <f t="shared" ca="1" si="74"/>
        <v>1.3716459405296346</v>
      </c>
      <c r="N165" s="304">
        <f t="shared" ca="1" si="75"/>
        <v>78.589523378600376</v>
      </c>
      <c r="P165" s="310">
        <f t="shared" ca="1" si="76"/>
        <v>16</v>
      </c>
      <c r="Q165" s="304">
        <f t="shared" ca="1" si="77"/>
        <v>684.3449999999898</v>
      </c>
      <c r="R165" s="306">
        <f t="shared" ca="1" si="78"/>
        <v>0.33630885914819969</v>
      </c>
      <c r="S165" s="307">
        <f t="shared" ca="1" si="79"/>
        <v>8.0644927399466777</v>
      </c>
      <c r="T165" s="304">
        <f t="shared" ca="1" si="59"/>
        <v>79.112673778876911</v>
      </c>
      <c r="U165" s="311">
        <f t="shared" ca="1" si="60"/>
        <v>0</v>
      </c>
      <c r="V165" s="306">
        <f t="shared" ca="1" si="61"/>
        <v>1.2044365383991515</v>
      </c>
      <c r="W165" s="304">
        <f t="shared" ca="1" si="62"/>
        <v>155.81032208196427</v>
      </c>
      <c r="Y165" s="314" t="str">
        <f t="shared" ca="1" si="80"/>
        <v/>
      </c>
      <c r="Z165" s="315" t="str">
        <f t="shared" ca="1" si="81"/>
        <v/>
      </c>
      <c r="AA165" s="316" t="str">
        <f t="shared" ca="1" si="82"/>
        <v/>
      </c>
      <c r="AC165" s="310" t="e">
        <f t="shared" ca="1" si="83"/>
        <v>#N/A</v>
      </c>
      <c r="AD165" s="323" t="e">
        <f t="shared" ca="1" si="84"/>
        <v>#N/A</v>
      </c>
      <c r="AE165" s="324">
        <f t="shared" ca="1" si="63"/>
        <v>169.28585106733385</v>
      </c>
      <c r="AG165" s="306">
        <f t="shared" ca="1" si="85"/>
        <v>56.024315063698431</v>
      </c>
      <c r="AH165" s="304">
        <f t="shared" ca="1" si="86"/>
        <v>65.640605044957667</v>
      </c>
    </row>
    <row r="166" spans="1:34" x14ac:dyDescent="0.3">
      <c r="A166" s="347">
        <f t="shared" ca="1" si="64"/>
        <v>0.01</v>
      </c>
      <c r="B166" s="304">
        <f t="shared" ca="1" si="65"/>
        <v>1.6200000000000012</v>
      </c>
      <c r="D166" s="306">
        <f t="shared" ca="1" si="66"/>
        <v>10.922731106794043</v>
      </c>
      <c r="E166" s="307">
        <f t="shared" ca="1" si="67"/>
        <v>44.309634706924818</v>
      </c>
      <c r="F166" s="304">
        <f t="shared" ca="1" si="68"/>
        <v>45.636057922353928</v>
      </c>
      <c r="G166" s="306">
        <f t="shared" ca="1" si="69"/>
        <v>40.475774842451138</v>
      </c>
      <c r="H166" s="307">
        <f t="shared" ca="1" si="70"/>
        <v>200.45010791025967</v>
      </c>
      <c r="I166" s="304">
        <f t="shared" ca="1" si="71"/>
        <v>204.49580462770268</v>
      </c>
      <c r="J166" s="306">
        <f t="shared" ca="1" si="72"/>
        <v>33.367834529864389</v>
      </c>
      <c r="K166" s="307">
        <f t="shared" ca="1" si="73"/>
        <v>171.28813666470111</v>
      </c>
      <c r="L166" s="304">
        <f t="shared" ca="1" si="58"/>
        <v>174.50798876635344</v>
      </c>
      <c r="M166" s="306">
        <f t="shared" ca="1" si="74"/>
        <v>1.3715510350684843</v>
      </c>
      <c r="N166" s="304">
        <f t="shared" ca="1" si="75"/>
        <v>78.584085696223724</v>
      </c>
      <c r="P166" s="310">
        <f t="shared" ca="1" si="76"/>
        <v>16</v>
      </c>
      <c r="Q166" s="304">
        <f t="shared" ca="1" si="77"/>
        <v>600.89499999998975</v>
      </c>
      <c r="R166" s="306">
        <f t="shared" ca="1" si="78"/>
        <v>0.29529887983087039</v>
      </c>
      <c r="S166" s="307">
        <f t="shared" ca="1" si="79"/>
        <v>8.0615397511483682</v>
      </c>
      <c r="T166" s="304">
        <f t="shared" ca="1" si="59"/>
        <v>79.083704958765495</v>
      </c>
      <c r="U166" s="311">
        <f t="shared" ca="1" si="60"/>
        <v>0</v>
      </c>
      <c r="V166" s="306">
        <f t="shared" ca="1" si="61"/>
        <v>1.2041953824671354</v>
      </c>
      <c r="W166" s="304">
        <f t="shared" ca="1" si="62"/>
        <v>156.47611300009203</v>
      </c>
      <c r="Y166" s="314" t="str">
        <f t="shared" ca="1" si="80"/>
        <v/>
      </c>
      <c r="Z166" s="315" t="str">
        <f t="shared" ca="1" si="81"/>
        <v/>
      </c>
      <c r="AA166" s="316" t="str">
        <f t="shared" ca="1" si="82"/>
        <v/>
      </c>
      <c r="AC166" s="310" t="e">
        <f t="shared" ca="1" si="83"/>
        <v>#N/A</v>
      </c>
      <c r="AD166" s="323" t="e">
        <f t="shared" ca="1" si="84"/>
        <v>#N/A</v>
      </c>
      <c r="AE166" s="324">
        <f t="shared" ca="1" si="63"/>
        <v>171.28813666470111</v>
      </c>
      <c r="AG166" s="306">
        <f t="shared" ca="1" si="85"/>
        <v>45.594771277717101</v>
      </c>
      <c r="AH166" s="304">
        <f t="shared" ca="1" si="86"/>
        <v>55.210876787480089</v>
      </c>
    </row>
    <row r="167" spans="1:34" x14ac:dyDescent="0.3">
      <c r="A167" s="347">
        <f t="shared" ca="1" si="64"/>
        <v>0.01</v>
      </c>
      <c r="B167" s="304">
        <f t="shared" ca="1" si="65"/>
        <v>1.6300000000000012</v>
      </c>
      <c r="D167" s="306">
        <f t="shared" ca="1" si="66"/>
        <v>8.9125906332310638</v>
      </c>
      <c r="E167" s="307">
        <f t="shared" ca="1" si="67"/>
        <v>34.32824716500344</v>
      </c>
      <c r="F167" s="304">
        <f t="shared" ca="1" si="68"/>
        <v>35.466361883017051</v>
      </c>
      <c r="G167" s="306">
        <f t="shared" ca="1" si="69"/>
        <v>40.564900748783451</v>
      </c>
      <c r="H167" s="307">
        <f t="shared" ca="1" si="70"/>
        <v>200.79339038190972</v>
      </c>
      <c r="I167" s="304">
        <f t="shared" ca="1" si="71"/>
        <v>204.8499372560818</v>
      </c>
      <c r="J167" s="306">
        <f t="shared" ca="1" si="72"/>
        <v>33.773037907820559</v>
      </c>
      <c r="K167" s="307">
        <f t="shared" ca="1" si="73"/>
        <v>173.29435415616197</v>
      </c>
      <c r="L167" s="304">
        <f t="shared" ca="1" si="58"/>
        <v>176.55466935746665</v>
      </c>
      <c r="M167" s="306">
        <f t="shared" ca="1" si="74"/>
        <v>1.3714562491240834</v>
      </c>
      <c r="N167" s="304">
        <f t="shared" ca="1" si="75"/>
        <v>78.578654861652382</v>
      </c>
      <c r="P167" s="310">
        <f t="shared" ca="1" si="76"/>
        <v>17</v>
      </c>
      <c r="Q167" s="304">
        <f t="shared" ca="1" si="77"/>
        <v>519.36499999998978</v>
      </c>
      <c r="R167" s="306">
        <f t="shared" ca="1" si="78"/>
        <v>0.25523244946847556</v>
      </c>
      <c r="S167" s="307">
        <f t="shared" ca="1" si="79"/>
        <v>8.0589874266536832</v>
      </c>
      <c r="T167" s="304">
        <f t="shared" ca="1" si="59"/>
        <v>79.058666655472635</v>
      </c>
      <c r="U167" s="311">
        <f t="shared" ca="1" si="60"/>
        <v>0</v>
      </c>
      <c r="V167" s="306">
        <f t="shared" ca="1" si="61"/>
        <v>1.2039538009891217</v>
      </c>
      <c r="W167" s="304">
        <f t="shared" ca="1" si="62"/>
        <v>156.9870322019955</v>
      </c>
      <c r="Y167" s="314" t="str">
        <f t="shared" ca="1" si="80"/>
        <v/>
      </c>
      <c r="Z167" s="315" t="str">
        <f t="shared" ca="1" si="81"/>
        <v/>
      </c>
      <c r="AA167" s="316" t="str">
        <f t="shared" ca="1" si="82"/>
        <v/>
      </c>
      <c r="AC167" s="310" t="e">
        <f t="shared" ca="1" si="83"/>
        <v>#N/A</v>
      </c>
      <c r="AD167" s="323" t="e">
        <f t="shared" ca="1" si="84"/>
        <v>#N/A</v>
      </c>
      <c r="AE167" s="324">
        <f t="shared" ca="1" si="63"/>
        <v>173.29435415616197</v>
      </c>
      <c r="AG167" s="306">
        <f t="shared" ca="1" si="85"/>
        <v>35.413170815473862</v>
      </c>
      <c r="AH167" s="304">
        <f t="shared" ca="1" si="86"/>
        <v>45.029092091607758</v>
      </c>
    </row>
    <row r="168" spans="1:34" x14ac:dyDescent="0.3">
      <c r="A168" s="347">
        <f t="shared" ca="1" si="64"/>
        <v>0.01</v>
      </c>
      <c r="B168" s="304">
        <f t="shared" ca="1" si="65"/>
        <v>1.6400000000000012</v>
      </c>
      <c r="D168" s="306">
        <f t="shared" ca="1" si="66"/>
        <v>6.9499357676878493</v>
      </c>
      <c r="E168" s="307">
        <f t="shared" ca="1" si="67"/>
        <v>24.591690623448528</v>
      </c>
      <c r="F168" s="304">
        <f t="shared" ca="1" si="68"/>
        <v>25.554898843360604</v>
      </c>
      <c r="G168" s="306">
        <f t="shared" ca="1" si="69"/>
        <v>40.634400106460326</v>
      </c>
      <c r="H168" s="307">
        <f t="shared" ca="1" si="70"/>
        <v>201.03930728814422</v>
      </c>
      <c r="I168" s="304">
        <f t="shared" ca="1" si="71"/>
        <v>205.10474774346102</v>
      </c>
      <c r="J168" s="306">
        <f t="shared" ca="1" si="72"/>
        <v>34.179034412096776</v>
      </c>
      <c r="K168" s="307">
        <f t="shared" ca="1" si="73"/>
        <v>175.30351764451225</v>
      </c>
      <c r="L168" s="304">
        <f t="shared" ca="1" si="58"/>
        <v>178.60439438010229</v>
      </c>
      <c r="M168" s="306">
        <f t="shared" ca="1" si="74"/>
        <v>1.3713615364983078</v>
      </c>
      <c r="N168" s="304">
        <f t="shared" ca="1" si="75"/>
        <v>78.573228227928837</v>
      </c>
      <c r="P168" s="310">
        <f t="shared" ca="1" si="76"/>
        <v>17</v>
      </c>
      <c r="Q168" s="304">
        <f t="shared" ca="1" si="77"/>
        <v>439.75499999998891</v>
      </c>
      <c r="R168" s="306">
        <f t="shared" ca="1" si="78"/>
        <v>0.21610956806101458</v>
      </c>
      <c r="S168" s="307">
        <f t="shared" ca="1" si="79"/>
        <v>8.0568263309730739</v>
      </c>
      <c r="T168" s="304">
        <f t="shared" ca="1" si="59"/>
        <v>79.037466306845857</v>
      </c>
      <c r="U168" s="311">
        <f t="shared" ca="1" si="60"/>
        <v>0</v>
      </c>
      <c r="V168" s="306">
        <f t="shared" ca="1" si="61"/>
        <v>1.2037119129160345</v>
      </c>
      <c r="W168" s="304">
        <f t="shared" ca="1" si="62"/>
        <v>157.34620483629826</v>
      </c>
      <c r="Y168" s="314" t="str">
        <f t="shared" ca="1" si="80"/>
        <v/>
      </c>
      <c r="Z168" s="315" t="str">
        <f t="shared" ca="1" si="81"/>
        <v/>
      </c>
      <c r="AA168" s="316" t="str">
        <f t="shared" ca="1" si="82"/>
        <v/>
      </c>
      <c r="AC168" s="310" t="e">
        <f t="shared" ca="1" si="83"/>
        <v>#N/A</v>
      </c>
      <c r="AD168" s="323" t="e">
        <f t="shared" ca="1" si="84"/>
        <v>#N/A</v>
      </c>
      <c r="AE168" s="324">
        <f t="shared" ca="1" si="63"/>
        <v>175.30351764451225</v>
      </c>
      <c r="AG168" s="306">
        <f t="shared" ca="1" si="85"/>
        <v>25.480956743504969</v>
      </c>
      <c r="AH168" s="304">
        <f t="shared" ca="1" si="86"/>
        <v>35.096693931572148</v>
      </c>
    </row>
    <row r="169" spans="1:34" x14ac:dyDescent="0.3">
      <c r="A169" s="347">
        <f t="shared" ca="1" si="64"/>
        <v>0.01</v>
      </c>
      <c r="B169" s="304">
        <f t="shared" ca="1" si="65"/>
        <v>1.6500000000000012</v>
      </c>
      <c r="D169" s="306">
        <f t="shared" ca="1" si="66"/>
        <v>5.4609580218311828</v>
      </c>
      <c r="E169" s="307">
        <f t="shared" ca="1" si="67"/>
        <v>17.208172163541526</v>
      </c>
      <c r="F169" s="304">
        <f t="shared" ca="1" si="68"/>
        <v>18.053898518776705</v>
      </c>
      <c r="G169" s="306">
        <f t="shared" ca="1" si="69"/>
        <v>40.689009686678638</v>
      </c>
      <c r="H169" s="307">
        <f t="shared" ca="1" si="70"/>
        <v>201.21138900977962</v>
      </c>
      <c r="I169" s="304">
        <f t="shared" ca="1" si="71"/>
        <v>205.28423850000635</v>
      </c>
      <c r="J169" s="306">
        <f t="shared" ca="1" si="72"/>
        <v>34.585651461062469</v>
      </c>
      <c r="K169" s="307">
        <f t="shared" ca="1" si="73"/>
        <v>177.31477112600189</v>
      </c>
      <c r="L169" s="304">
        <f t="shared" ca="1" si="58"/>
        <v>180.65629063625911</v>
      </c>
      <c r="M169" s="306">
        <f t="shared" ca="1" si="74"/>
        <v>1.3712668623207389</v>
      </c>
      <c r="N169" s="304">
        <f t="shared" ca="1" si="75"/>
        <v>78.567803797125265</v>
      </c>
      <c r="P169" s="310">
        <f t="shared" ca="1" si="76"/>
        <v>18</v>
      </c>
      <c r="Q169" s="304">
        <f t="shared" ca="1" si="77"/>
        <v>379.37749999999403</v>
      </c>
      <c r="R169" s="306">
        <f t="shared" ca="1" si="78"/>
        <v>0.18643814773468939</v>
      </c>
      <c r="S169" s="307">
        <f t="shared" ca="1" si="79"/>
        <v>8.054961949495727</v>
      </c>
      <c r="T169" s="304">
        <f t="shared" ca="1" si="59"/>
        <v>79.019176724553091</v>
      </c>
      <c r="U169" s="311">
        <f t="shared" ca="1" si="60"/>
        <v>0</v>
      </c>
      <c r="V169" s="306">
        <f t="shared" ca="1" si="61"/>
        <v>1.2034698214709736</v>
      </c>
      <c r="W169" s="304">
        <f t="shared" ca="1" si="62"/>
        <v>157.59001717696151</v>
      </c>
      <c r="Y169" s="314" t="str">
        <f t="shared" ca="1" si="80"/>
        <v/>
      </c>
      <c r="Z169" s="315" t="str">
        <f t="shared" ca="1" si="81"/>
        <v/>
      </c>
      <c r="AA169" s="316" t="str">
        <f t="shared" ca="1" si="82"/>
        <v/>
      </c>
      <c r="AC169" s="310" t="e">
        <f t="shared" ca="1" si="83"/>
        <v>#N/A</v>
      </c>
      <c r="AD169" s="323" t="e">
        <f t="shared" ca="1" si="84"/>
        <v>#N/A</v>
      </c>
      <c r="AE169" s="324">
        <f t="shared" ca="1" si="63"/>
        <v>177.31477112600189</v>
      </c>
      <c r="AG169" s="306">
        <f t="shared" ca="1" si="85"/>
        <v>17.948983654351096</v>
      </c>
      <c r="AH169" s="304">
        <f t="shared" ca="1" si="86"/>
        <v>27.564536810455799</v>
      </c>
    </row>
    <row r="170" spans="1:34" x14ac:dyDescent="0.3">
      <c r="A170" s="347">
        <f t="shared" ca="1" si="64"/>
        <v>0.01</v>
      </c>
      <c r="B170" s="304">
        <f t="shared" ca="1" si="65"/>
        <v>1.6600000000000013</v>
      </c>
      <c r="D170" s="306">
        <f t="shared" ca="1" si="66"/>
        <v>4.4459803867282792</v>
      </c>
      <c r="E170" s="307">
        <f t="shared" ca="1" si="67"/>
        <v>12.175835880805797</v>
      </c>
      <c r="F170" s="304">
        <f t="shared" ca="1" si="68"/>
        <v>12.962164981031927</v>
      </c>
      <c r="G170" s="306">
        <f t="shared" ca="1" si="69"/>
        <v>40.733469490545922</v>
      </c>
      <c r="H170" s="307">
        <f t="shared" ca="1" si="70"/>
        <v>201.33314736858767</v>
      </c>
      <c r="I170" s="304">
        <f t="shared" ca="1" si="71"/>
        <v>205.41239438280903</v>
      </c>
      <c r="J170" s="306">
        <f t="shared" ca="1" si="72"/>
        <v>34.992763856948592</v>
      </c>
      <c r="K170" s="307">
        <f t="shared" ca="1" si="73"/>
        <v>179.32749380789372</v>
      </c>
      <c r="L170" s="304">
        <f t="shared" ca="1" si="58"/>
        <v>182.70972485822512</v>
      </c>
      <c r="M170" s="306">
        <f t="shared" ca="1" si="74"/>
        <v>1.3711722028924944</v>
      </c>
      <c r="N170" s="304">
        <f t="shared" ca="1" si="75"/>
        <v>78.562380211395734</v>
      </c>
      <c r="P170" s="310">
        <f t="shared" ca="1" si="76"/>
        <v>18</v>
      </c>
      <c r="Q170" s="304">
        <f t="shared" ca="1" si="77"/>
        <v>338.23249999999405</v>
      </c>
      <c r="R170" s="306">
        <f t="shared" ca="1" si="78"/>
        <v>0.16621818848949454</v>
      </c>
      <c r="S170" s="307">
        <f t="shared" ca="1" si="79"/>
        <v>8.0532997676108327</v>
      </c>
      <c r="T170" s="304">
        <f t="shared" ca="1" si="59"/>
        <v>79.002870720262266</v>
      </c>
      <c r="U170" s="311">
        <f t="shared" ca="1" si="60"/>
        <v>0</v>
      </c>
      <c r="V170" s="306">
        <f t="shared" ca="1" si="61"/>
        <v>1.2032276014914691</v>
      </c>
      <c r="W170" s="304">
        <f t="shared" ca="1" si="62"/>
        <v>157.75508333703416</v>
      </c>
      <c r="Y170" s="314" t="str">
        <f t="shared" ca="1" si="80"/>
        <v/>
      </c>
      <c r="Z170" s="315" t="str">
        <f t="shared" ca="1" si="81"/>
        <v/>
      </c>
      <c r="AA170" s="316" t="str">
        <f t="shared" ca="1" si="82"/>
        <v/>
      </c>
      <c r="AC170" s="310" t="e">
        <f t="shared" ca="1" si="83"/>
        <v>#N/A</v>
      </c>
      <c r="AD170" s="323" t="e">
        <f t="shared" ca="1" si="84"/>
        <v>#N/A</v>
      </c>
      <c r="AE170" s="324">
        <f t="shared" ca="1" si="63"/>
        <v>179.32749380789372</v>
      </c>
      <c r="AG170" s="306">
        <f t="shared" ca="1" si="85"/>
        <v>12.81549625133221</v>
      </c>
      <c r="AH170" s="304">
        <f t="shared" ca="1" si="86"/>
        <v>22.43086536397783</v>
      </c>
    </row>
    <row r="171" spans="1:34" x14ac:dyDescent="0.3">
      <c r="A171" s="347">
        <f t="shared" ca="1" si="64"/>
        <v>0.01</v>
      </c>
      <c r="B171" s="304">
        <f t="shared" ca="1" si="65"/>
        <v>1.6700000000000013</v>
      </c>
      <c r="D171" s="306">
        <f t="shared" ca="1" si="66"/>
        <v>3.0714550184350062</v>
      </c>
      <c r="E171" s="307">
        <f t="shared" ca="1" si="67"/>
        <v>5.371267728890313</v>
      </c>
      <c r="F171" s="304">
        <f t="shared" ca="1" si="68"/>
        <v>6.1874350861797396</v>
      </c>
      <c r="G171" s="306">
        <f t="shared" ca="1" si="69"/>
        <v>40.764184040730271</v>
      </c>
      <c r="H171" s="307">
        <f t="shared" ca="1" si="70"/>
        <v>201.38686004587657</v>
      </c>
      <c r="I171" s="304">
        <f t="shared" ca="1" si="71"/>
        <v>205.4711320347557</v>
      </c>
      <c r="J171" s="306">
        <f t="shared" ca="1" si="72"/>
        <v>35.400252124604975</v>
      </c>
      <c r="K171" s="307">
        <f t="shared" ca="1" si="73"/>
        <v>181.34109384496603</v>
      </c>
      <c r="L171" s="304">
        <f t="shared" ca="1" si="58"/>
        <v>184.76409328485437</v>
      </c>
      <c r="M171" s="306">
        <f t="shared" ca="1" si="74"/>
        <v>1.3710775262273092</v>
      </c>
      <c r="N171" s="304">
        <f t="shared" ca="1" si="75"/>
        <v>78.556955638062249</v>
      </c>
      <c r="P171" s="310">
        <f t="shared" ca="1" si="76"/>
        <v>19</v>
      </c>
      <c r="Q171" s="304">
        <f t="shared" ca="1" si="77"/>
        <v>282.46999999998985</v>
      </c>
      <c r="R171" s="306">
        <f t="shared" ca="1" si="78"/>
        <v>0.13881472567723876</v>
      </c>
      <c r="S171" s="307">
        <f t="shared" ca="1" si="79"/>
        <v>8.0519116203540602</v>
      </c>
      <c r="T171" s="304">
        <f t="shared" ca="1" si="59"/>
        <v>78.98925299567334</v>
      </c>
      <c r="U171" s="311">
        <f t="shared" ca="1" si="60"/>
        <v>0</v>
      </c>
      <c r="V171" s="306">
        <f t="shared" ca="1" si="61"/>
        <v>1.2029853242728419</v>
      </c>
      <c r="W171" s="304">
        <f t="shared" ca="1" si="62"/>
        <v>157.8135332167866</v>
      </c>
      <c r="Y171" s="314" t="str">
        <f t="shared" ca="1" si="80"/>
        <v/>
      </c>
      <c r="Z171" s="315" t="str">
        <f t="shared" ca="1" si="81"/>
        <v/>
      </c>
      <c r="AA171" s="316" t="str">
        <f t="shared" ca="1" si="82"/>
        <v/>
      </c>
      <c r="AC171" s="310" t="e">
        <f t="shared" ca="1" si="83"/>
        <v>#N/A</v>
      </c>
      <c r="AD171" s="323" t="e">
        <f t="shared" ca="1" si="84"/>
        <v>#N/A</v>
      </c>
      <c r="AE171" s="324">
        <f t="shared" ca="1" si="63"/>
        <v>181.34109384496603</v>
      </c>
      <c r="AG171" s="306">
        <f t="shared" ca="1" si="85"/>
        <v>5.8736731058853433</v>
      </c>
      <c r="AH171" s="304">
        <f t="shared" ca="1" si="86"/>
        <v>15.488858117579747</v>
      </c>
    </row>
    <row r="172" spans="1:34" x14ac:dyDescent="0.3">
      <c r="A172" s="347">
        <f t="shared" ca="1" si="64"/>
        <v>0.01</v>
      </c>
      <c r="B172" s="304">
        <f t="shared" ca="1" si="65"/>
        <v>1.6800000000000013</v>
      </c>
      <c r="D172" s="306">
        <f t="shared" ca="1" si="66"/>
        <v>1.5981140441298378</v>
      </c>
      <c r="E172" s="307">
        <f t="shared" ca="1" si="67"/>
        <v>-1.9148543736100772</v>
      </c>
      <c r="F172" s="304">
        <f t="shared" ca="1" si="68"/>
        <v>2.4941202397195421</v>
      </c>
      <c r="G172" s="306">
        <f t="shared" ca="1" si="69"/>
        <v>40.780165181171569</v>
      </c>
      <c r="H172" s="307">
        <f t="shared" ca="1" si="70"/>
        <v>201.36771150214048</v>
      </c>
      <c r="I172" s="304">
        <f t="shared" ca="1" si="71"/>
        <v>205.45553559788289</v>
      </c>
      <c r="J172" s="306">
        <f t="shared" ca="1" si="72"/>
        <v>35.807973870714484</v>
      </c>
      <c r="K172" s="307">
        <f t="shared" ca="1" si="73"/>
        <v>183.35486670270612</v>
      </c>
      <c r="L172" s="304">
        <f t="shared" ca="1" si="58"/>
        <v>186.81867716128625</v>
      </c>
      <c r="M172" s="306">
        <f t="shared" ca="1" si="74"/>
        <v>1.3709827980674392</v>
      </c>
      <c r="N172" s="304">
        <f t="shared" ca="1" si="75"/>
        <v>78.551528114300666</v>
      </c>
      <c r="P172" s="310">
        <f t="shared" ca="1" si="76"/>
        <v>20</v>
      </c>
      <c r="Q172" s="304">
        <f t="shared" ca="1" si="77"/>
        <v>222.66499999999292</v>
      </c>
      <c r="R172" s="306">
        <f t="shared" ca="1" si="78"/>
        <v>0.10942465002627712</v>
      </c>
      <c r="S172" s="307">
        <f t="shared" ca="1" si="79"/>
        <v>8.050817373853798</v>
      </c>
      <c r="T172" s="304">
        <f t="shared" ca="1" si="59"/>
        <v>78.97851843750577</v>
      </c>
      <c r="U172" s="311">
        <f t="shared" ca="1" si="60"/>
        <v>0</v>
      </c>
      <c r="V172" s="306">
        <f t="shared" ca="1" si="61"/>
        <v>1.2027430746083385</v>
      </c>
      <c r="W172" s="304">
        <f t="shared" ca="1" si="62"/>
        <v>157.75780154376207</v>
      </c>
      <c r="Y172" s="314" t="str">
        <f t="shared" ca="1" si="80"/>
        <v/>
      </c>
      <c r="Z172" s="315" t="str">
        <f t="shared" ca="1" si="81"/>
        <v/>
      </c>
      <c r="AA172" s="316" t="str">
        <f t="shared" ca="1" si="82"/>
        <v/>
      </c>
      <c r="AC172" s="310" t="e">
        <f t="shared" ca="1" si="83"/>
        <v>#N/A</v>
      </c>
      <c r="AD172" s="323" t="e">
        <f t="shared" ca="1" si="84"/>
        <v>#N/A</v>
      </c>
      <c r="AE172" s="324">
        <f t="shared" ca="1" si="63"/>
        <v>183.35486670270612</v>
      </c>
      <c r="AG172" s="306">
        <f t="shared" ca="1" si="85"/>
        <v>-1.5597358692668006</v>
      </c>
      <c r="AH172" s="304">
        <f t="shared" ca="1" si="86"/>
        <v>8.0552649217731478</v>
      </c>
    </row>
    <row r="173" spans="1:34" x14ac:dyDescent="0.3">
      <c r="A173" s="347">
        <f t="shared" ca="1" si="64"/>
        <v>0.01</v>
      </c>
      <c r="B173" s="304">
        <f t="shared" ca="1" si="65"/>
        <v>1.6900000000000013</v>
      </c>
      <c r="D173" s="306">
        <f t="shared" ca="1" si="66"/>
        <v>-0.61844683864727257</v>
      </c>
      <c r="E173" s="307">
        <f t="shared" ca="1" si="67"/>
        <v>-12.863818542197407</v>
      </c>
      <c r="F173" s="304">
        <f t="shared" ca="1" si="68"/>
        <v>12.878676328676585</v>
      </c>
      <c r="G173" s="306">
        <f t="shared" ca="1" si="69"/>
        <v>40.773980712785097</v>
      </c>
      <c r="H173" s="307">
        <f t="shared" ca="1" si="70"/>
        <v>201.2390733167185</v>
      </c>
      <c r="I173" s="304">
        <f t="shared" ca="1" si="71"/>
        <v>205.32823023768108</v>
      </c>
      <c r="J173" s="306">
        <f t="shared" ca="1" si="72"/>
        <v>36.215744600184266</v>
      </c>
      <c r="K173" s="307">
        <f t="shared" ca="1" si="73"/>
        <v>185.36790062680041</v>
      </c>
      <c r="L173" s="304">
        <f t="shared" ca="1" si="58"/>
        <v>188.87254628381839</v>
      </c>
      <c r="M173" s="306">
        <f t="shared" ca="1" si="74"/>
        <v>1.370887966816881</v>
      </c>
      <c r="N173" s="304">
        <f t="shared" ca="1" si="75"/>
        <v>78.546094683877726</v>
      </c>
      <c r="P173" s="310">
        <f t="shared" ca="1" si="76"/>
        <v>21</v>
      </c>
      <c r="Q173" s="304">
        <f t="shared" ca="1" si="77"/>
        <v>132.67499999998114</v>
      </c>
      <c r="R173" s="306">
        <f t="shared" ca="1" si="78"/>
        <v>6.5200707081196935E-2</v>
      </c>
      <c r="S173" s="307">
        <f t="shared" ca="1" si="79"/>
        <v>8.050165366782986</v>
      </c>
      <c r="T173" s="304">
        <f t="shared" ca="1" si="59"/>
        <v>78.97212224814109</v>
      </c>
      <c r="U173" s="311">
        <f t="shared" ca="1" si="60"/>
        <v>0</v>
      </c>
      <c r="V173" s="306">
        <f t="shared" ca="1" si="61"/>
        <v>1.2025009621438925</v>
      </c>
      <c r="W173" s="304">
        <f t="shared" ca="1" si="62"/>
        <v>157.53064345656065</v>
      </c>
      <c r="Y173" s="314" t="str">
        <f t="shared" ca="1" si="80"/>
        <v/>
      </c>
      <c r="Z173" s="315" t="str">
        <f t="shared" ca="1" si="81"/>
        <v/>
      </c>
      <c r="AA173" s="316" t="str">
        <f t="shared" ca="1" si="82"/>
        <v/>
      </c>
      <c r="AC173" s="310" t="e">
        <f t="shared" ca="1" si="83"/>
        <v>#N/A</v>
      </c>
      <c r="AD173" s="323" t="e">
        <f t="shared" ca="1" si="84"/>
        <v>#N/A</v>
      </c>
      <c r="AE173" s="324">
        <f t="shared" ca="1" si="63"/>
        <v>185.36790062680041</v>
      </c>
      <c r="AG173" s="306">
        <f t="shared" ca="1" si="85"/>
        <v>-12.730628345668453</v>
      </c>
      <c r="AH173" s="304">
        <f t="shared" ca="1" si="86"/>
        <v>-3.1158119617366995</v>
      </c>
    </row>
    <row r="174" spans="1:34" x14ac:dyDescent="0.3">
      <c r="A174" s="347">
        <f t="shared" ca="1" si="64"/>
        <v>0.01</v>
      </c>
      <c r="B174" s="304">
        <f t="shared" ca="1" si="65"/>
        <v>1.7000000000000013</v>
      </c>
      <c r="D174" s="306">
        <f t="shared" ca="1" si="66"/>
        <v>-3.055920285520568</v>
      </c>
      <c r="E174" s="307">
        <f t="shared" ca="1" si="67"/>
        <v>-24.892426479764602</v>
      </c>
      <c r="F174" s="304">
        <f t="shared" ca="1" si="68"/>
        <v>25.079305110826773</v>
      </c>
      <c r="G174" s="306">
        <f t="shared" ca="1" si="69"/>
        <v>40.743421509929888</v>
      </c>
      <c r="H174" s="307">
        <f t="shared" ca="1" si="70"/>
        <v>200.99014905192087</v>
      </c>
      <c r="I174" s="304">
        <f t="shared" ca="1" si="71"/>
        <v>205.07819584794765</v>
      </c>
      <c r="J174" s="306">
        <f t="shared" ca="1" si="72"/>
        <v>36.623331611297843</v>
      </c>
      <c r="K174" s="307">
        <f t="shared" ca="1" si="73"/>
        <v>187.37904673864361</v>
      </c>
      <c r="L174" s="304">
        <f t="shared" ca="1" si="58"/>
        <v>190.92452847917124</v>
      </c>
      <c r="M174" s="306">
        <f t="shared" ca="1" si="74"/>
        <v>1.3707929754867156</v>
      </c>
      <c r="N174" s="304">
        <f t="shared" ca="1" si="75"/>
        <v>78.540652081568922</v>
      </c>
      <c r="P174" s="310">
        <f t="shared" ca="1" si="76"/>
        <v>22</v>
      </c>
      <c r="Q174" s="304">
        <f t="shared" ca="1" si="77"/>
        <v>33.649999999990285</v>
      </c>
      <c r="R174" s="306">
        <f t="shared" ca="1" si="78"/>
        <v>1.6536678298714566E-2</v>
      </c>
      <c r="S174" s="307">
        <f t="shared" ca="1" si="79"/>
        <v>8.0499999999999989</v>
      </c>
      <c r="T174" s="304">
        <f t="shared" ca="1" si="59"/>
        <v>78.970499999999987</v>
      </c>
      <c r="U174" s="311">
        <f t="shared" ca="1" si="60"/>
        <v>0</v>
      </c>
      <c r="V174" s="306">
        <f t="shared" ca="1" si="61"/>
        <v>1.2022591249489696</v>
      </c>
      <c r="W174" s="304">
        <f t="shared" ca="1" si="62"/>
        <v>157.11561323736944</v>
      </c>
      <c r="Y174" s="314" t="str">
        <f t="shared" ca="1" si="80"/>
        <v/>
      </c>
      <c r="Z174" s="315" t="str">
        <f t="shared" ca="1" si="81"/>
        <v/>
      </c>
      <c r="AA174" s="316" t="str">
        <f t="shared" ca="1" si="82"/>
        <v/>
      </c>
      <c r="AC174" s="310" t="e">
        <f t="shared" ca="1" si="83"/>
        <v>#N/A</v>
      </c>
      <c r="AD174" s="323" t="e">
        <f t="shared" ca="1" si="84"/>
        <v>#N/A</v>
      </c>
      <c r="AE174" s="324">
        <f t="shared" ca="1" si="63"/>
        <v>187.37904673864361</v>
      </c>
      <c r="AG174" s="306">
        <f t="shared" ca="1" si="85"/>
        <v>-25.003531497988035</v>
      </c>
      <c r="AH174" s="304">
        <f t="shared" ca="1" si="86"/>
        <v>-15.388899808269613</v>
      </c>
    </row>
    <row r="175" spans="1:34" x14ac:dyDescent="0.3">
      <c r="A175" s="347">
        <f t="shared" ca="1" si="64"/>
        <v>0.01</v>
      </c>
      <c r="B175" s="304">
        <f t="shared" ca="1" si="65"/>
        <v>1.7100000000000013</v>
      </c>
      <c r="D175" s="306">
        <f t="shared" ca="1" si="66"/>
        <v>-3.8775863088432119</v>
      </c>
      <c r="E175" s="307">
        <f t="shared" ca="1" si="67"/>
        <v>-28.938404569217191</v>
      </c>
      <c r="F175" s="304">
        <f t="shared" ca="1" si="68"/>
        <v>29.197036400878407</v>
      </c>
      <c r="G175" s="306">
        <f t="shared" ca="1" si="69"/>
        <v>40.704645646841456</v>
      </c>
      <c r="H175" s="307">
        <f t="shared" ca="1" si="70"/>
        <v>200.70076500622869</v>
      </c>
      <c r="I175" s="304">
        <f t="shared" ca="1" si="71"/>
        <v>204.78687763457981</v>
      </c>
      <c r="J175" s="306">
        <f t="shared" ca="1" si="72"/>
        <v>37.030571947081697</v>
      </c>
      <c r="K175" s="307">
        <f t="shared" ca="1" si="73"/>
        <v>189.38750130893436</v>
      </c>
      <c r="L175" s="304">
        <f t="shared" ca="1" si="58"/>
        <v>192.97380369047403</v>
      </c>
      <c r="M175" s="306">
        <f t="shared" ca="1" si="74"/>
        <v>1.3706978044297837</v>
      </c>
      <c r="N175" s="304">
        <f t="shared" ca="1" si="75"/>
        <v>78.535199181674926</v>
      </c>
      <c r="P175" s="310">
        <f t="shared" ca="1" si="76"/>
        <v>23</v>
      </c>
      <c r="Q175" s="304">
        <f t="shared" ca="1" si="77"/>
        <v>0</v>
      </c>
      <c r="R175" s="306">
        <f t="shared" ca="1" si="78"/>
        <v>0</v>
      </c>
      <c r="S175" s="307">
        <f t="shared" ca="1" si="79"/>
        <v>8.0499999999999989</v>
      </c>
      <c r="T175" s="304">
        <f t="shared" ca="1" si="59"/>
        <v>78.970499999999987</v>
      </c>
      <c r="U175" s="311">
        <f t="shared" ca="1" si="60"/>
        <v>0</v>
      </c>
      <c r="V175" s="306">
        <f t="shared" ca="1" si="61"/>
        <v>1.2020176594918095</v>
      </c>
      <c r="W175" s="304">
        <f t="shared" ca="1" si="62"/>
        <v>156.63809171692509</v>
      </c>
      <c r="Y175" s="314" t="str">
        <f t="shared" ca="1" si="80"/>
        <v>Fin de propulsion</v>
      </c>
      <c r="Z175" s="315" t="str">
        <f t="shared" ca="1" si="81"/>
        <v/>
      </c>
      <c r="AA175" s="316" t="str">
        <f t="shared" ca="1" si="82"/>
        <v/>
      </c>
      <c r="AC175" s="310" t="e">
        <f t="shared" ca="1" si="83"/>
        <v>#N/A</v>
      </c>
      <c r="AD175" s="323" t="e">
        <f t="shared" ca="1" si="84"/>
        <v>#N/A</v>
      </c>
      <c r="AE175" s="324">
        <f t="shared" ca="1" si="63"/>
        <v>189.38750130893436</v>
      </c>
      <c r="AG175" s="306">
        <f t="shared" ca="1" si="85"/>
        <v>-29.131914079952502</v>
      </c>
      <c r="AH175" s="304">
        <f t="shared" ca="1" si="86"/>
        <v>-19.51746748290304</v>
      </c>
    </row>
    <row r="176" spans="1:34" x14ac:dyDescent="0.3">
      <c r="A176" s="347">
        <f t="shared" ca="1" si="64"/>
        <v>0.01</v>
      </c>
      <c r="B176" s="304">
        <f t="shared" ca="1" si="65"/>
        <v>1.7200000000000013</v>
      </c>
      <c r="D176" s="306">
        <f t="shared" ca="1" si="66"/>
        <v>-3.8676160798722004</v>
      </c>
      <c r="E176" s="307">
        <f t="shared" ca="1" si="67"/>
        <v>-28.879899605942768</v>
      </c>
      <c r="F176" s="304">
        <f t="shared" ca="1" si="68"/>
        <v>29.137725638605001</v>
      </c>
      <c r="G176" s="306">
        <f t="shared" ca="1" si="69"/>
        <v>40.665969486042734</v>
      </c>
      <c r="H176" s="307">
        <f t="shared" ca="1" si="70"/>
        <v>200.41196601016927</v>
      </c>
      <c r="I176" s="304">
        <f t="shared" ca="1" si="71"/>
        <v>204.49615447313673</v>
      </c>
      <c r="J176" s="306">
        <f t="shared" ca="1" si="72"/>
        <v>37.437425022746119</v>
      </c>
      <c r="K176" s="307">
        <f t="shared" ca="1" si="73"/>
        <v>191.39306496401636</v>
      </c>
      <c r="L176" s="304">
        <f t="shared" ca="1" si="58"/>
        <v>195.02016846637662</v>
      </c>
      <c r="M176" s="306">
        <f t="shared" ca="1" si="74"/>
        <v>1.3706024533278387</v>
      </c>
      <c r="N176" s="304">
        <f t="shared" ca="1" si="75"/>
        <v>78.529735965961549</v>
      </c>
      <c r="P176" s="310">
        <f t="shared" ca="1" si="76"/>
        <v>23</v>
      </c>
      <c r="Q176" s="304">
        <f t="shared" ca="1" si="77"/>
        <v>0</v>
      </c>
      <c r="R176" s="306">
        <f t="shared" ca="1" si="78"/>
        <v>0</v>
      </c>
      <c r="S176" s="307">
        <f t="shared" ca="1" si="79"/>
        <v>8.0499999999999989</v>
      </c>
      <c r="T176" s="304">
        <f t="shared" ca="1" si="59"/>
        <v>78.970499999999987</v>
      </c>
      <c r="U176" s="311">
        <f t="shared" ca="1" si="60"/>
        <v>0</v>
      </c>
      <c r="V176" s="306">
        <f t="shared" ca="1" si="61"/>
        <v>1.2017765895273718</v>
      </c>
      <c r="W176" s="304">
        <f t="shared" ca="1" si="62"/>
        <v>156.16234340443884</v>
      </c>
      <c r="Y176" s="314" t="str">
        <f t="shared" ca="1" si="80"/>
        <v/>
      </c>
      <c r="Z176" s="315" t="str">
        <f t="shared" ca="1" si="81"/>
        <v/>
      </c>
      <c r="AA176" s="316" t="str">
        <f t="shared" ca="1" si="82"/>
        <v/>
      </c>
      <c r="AC176" s="310" t="e">
        <f t="shared" ca="1" si="83"/>
        <v>#N/A</v>
      </c>
      <c r="AD176" s="323" t="e">
        <f t="shared" ca="1" si="84"/>
        <v>#N/A</v>
      </c>
      <c r="AE176" s="324">
        <f t="shared" ca="1" si="63"/>
        <v>191.39306496401636</v>
      </c>
      <c r="AG176" s="306">
        <f t="shared" ca="1" si="85"/>
        <v>-29.072409106547667</v>
      </c>
      <c r="AH176" s="304">
        <f t="shared" ca="1" si="86"/>
        <v>-19.458148039369579</v>
      </c>
    </row>
    <row r="177" spans="1:34" x14ac:dyDescent="0.3">
      <c r="A177" s="347">
        <f t="shared" ca="1" si="64"/>
        <v>0.01</v>
      </c>
      <c r="B177" s="304">
        <f t="shared" ca="1" si="65"/>
        <v>1.7300000000000013</v>
      </c>
      <c r="D177" s="306">
        <f t="shared" ca="1" si="66"/>
        <v>-3.8576819766752344</v>
      </c>
      <c r="E177" s="307">
        <f t="shared" ca="1" si="67"/>
        <v>-28.82161189462925</v>
      </c>
      <c r="F177" s="304">
        <f t="shared" ca="1" si="68"/>
        <v>29.078635154315602</v>
      </c>
      <c r="G177" s="306">
        <f t="shared" ca="1" si="69"/>
        <v>40.627392666275981</v>
      </c>
      <c r="H177" s="307">
        <f t="shared" ca="1" si="70"/>
        <v>200.12374989122299</v>
      </c>
      <c r="I177" s="304">
        <f t="shared" ca="1" si="71"/>
        <v>204.20602416526441</v>
      </c>
      <c r="J177" s="306">
        <f t="shared" ca="1" si="72"/>
        <v>37.843891833507712</v>
      </c>
      <c r="K177" s="307">
        <f t="shared" ca="1" si="73"/>
        <v>193.39574354352331</v>
      </c>
      <c r="L177" s="304">
        <f t="shared" ca="1" si="58"/>
        <v>197.06362873411845</v>
      </c>
      <c r="M177" s="306">
        <f t="shared" ca="1" si="74"/>
        <v>1.3705069218616752</v>
      </c>
      <c r="N177" s="304">
        <f t="shared" ca="1" si="75"/>
        <v>78.524262416139692</v>
      </c>
      <c r="P177" s="310">
        <f t="shared" ca="1" si="76"/>
        <v>23</v>
      </c>
      <c r="Q177" s="304">
        <f t="shared" ca="1" si="77"/>
        <v>0</v>
      </c>
      <c r="R177" s="306">
        <f t="shared" ca="1" si="78"/>
        <v>0</v>
      </c>
      <c r="S177" s="307">
        <f t="shared" ca="1" si="79"/>
        <v>8.0499999999999989</v>
      </c>
      <c r="T177" s="304">
        <f t="shared" ca="1" si="59"/>
        <v>78.970499999999987</v>
      </c>
      <c r="U177" s="311">
        <f t="shared" ca="1" si="60"/>
        <v>0</v>
      </c>
      <c r="V177" s="306">
        <f t="shared" ca="1" si="61"/>
        <v>1.2015359141325637</v>
      </c>
      <c r="W177" s="304">
        <f t="shared" ca="1" si="62"/>
        <v>155.68835958590464</v>
      </c>
      <c r="Y177" s="314" t="str">
        <f t="shared" ca="1" si="80"/>
        <v/>
      </c>
      <c r="Z177" s="315" t="str">
        <f t="shared" ca="1" si="81"/>
        <v/>
      </c>
      <c r="AA177" s="316" t="str">
        <f t="shared" ca="1" si="82"/>
        <v/>
      </c>
      <c r="AC177" s="310" t="e">
        <f t="shared" ca="1" si="83"/>
        <v>#N/A</v>
      </c>
      <c r="AD177" s="323" t="e">
        <f t="shared" ca="1" si="84"/>
        <v>#N/A</v>
      </c>
      <c r="AE177" s="324">
        <f t="shared" ca="1" si="63"/>
        <v>193.39574354352331</v>
      </c>
      <c r="AG177" s="306">
        <f t="shared" ca="1" si="85"/>
        <v>-29.013123969108413</v>
      </c>
      <c r="AH177" s="304">
        <f t="shared" ca="1" si="86"/>
        <v>-19.39904887011663</v>
      </c>
    </row>
    <row r="178" spans="1:34" x14ac:dyDescent="0.3">
      <c r="A178" s="347">
        <f t="shared" ca="1" si="64"/>
        <v>0.01</v>
      </c>
      <c r="B178" s="304">
        <f t="shared" ca="1" si="65"/>
        <v>1.7400000000000013</v>
      </c>
      <c r="D178" s="306">
        <f t="shared" ca="1" si="66"/>
        <v>-3.847783820511828</v>
      </c>
      <c r="E178" s="307">
        <f t="shared" ca="1" si="67"/>
        <v>-28.763540367624749</v>
      </c>
      <c r="F178" s="304">
        <f t="shared" ca="1" si="68"/>
        <v>29.019763865499854</v>
      </c>
      <c r="G178" s="306">
        <f t="shared" ca="1" si="69"/>
        <v>40.588914828070862</v>
      </c>
      <c r="H178" s="307">
        <f t="shared" ca="1" si="70"/>
        <v>199.83611448754675</v>
      </c>
      <c r="I178" s="304">
        <f t="shared" ca="1" si="71"/>
        <v>203.91648452344475</v>
      </c>
      <c r="J178" s="306">
        <f t="shared" ca="1" si="72"/>
        <v>38.249973370979447</v>
      </c>
      <c r="K178" s="307">
        <f t="shared" ca="1" si="73"/>
        <v>195.39554286541716</v>
      </c>
      <c r="L178" s="304">
        <f t="shared" ca="1" si="58"/>
        <v>199.10419039927743</v>
      </c>
      <c r="M178" s="306">
        <f t="shared" ca="1" si="74"/>
        <v>1.3704112097111274</v>
      </c>
      <c r="N178" s="304">
        <f t="shared" ca="1" si="75"/>
        <v>78.518778513865172</v>
      </c>
      <c r="P178" s="310">
        <f t="shared" ca="1" si="76"/>
        <v>23</v>
      </c>
      <c r="Q178" s="304">
        <f t="shared" ca="1" si="77"/>
        <v>0</v>
      </c>
      <c r="R178" s="306">
        <f t="shared" ca="1" si="78"/>
        <v>0</v>
      </c>
      <c r="S178" s="307">
        <f t="shared" ca="1" si="79"/>
        <v>8.0499999999999989</v>
      </c>
      <c r="T178" s="304">
        <f t="shared" ca="1" si="59"/>
        <v>78.970499999999987</v>
      </c>
      <c r="U178" s="311">
        <f t="shared" ca="1" si="60"/>
        <v>0</v>
      </c>
      <c r="V178" s="306">
        <f t="shared" ca="1" si="61"/>
        <v>1.2012956323878792</v>
      </c>
      <c r="W178" s="304">
        <f t="shared" ca="1" si="62"/>
        <v>155.21613160139657</v>
      </c>
      <c r="Y178" s="314" t="str">
        <f t="shared" ca="1" si="80"/>
        <v/>
      </c>
      <c r="Z178" s="315" t="str">
        <f t="shared" ca="1" si="81"/>
        <v/>
      </c>
      <c r="AA178" s="316" t="str">
        <f t="shared" ca="1" si="82"/>
        <v/>
      </c>
      <c r="AC178" s="310" t="e">
        <f t="shared" ca="1" si="83"/>
        <v>#N/A</v>
      </c>
      <c r="AD178" s="323" t="e">
        <f t="shared" ca="1" si="84"/>
        <v>#N/A</v>
      </c>
      <c r="AE178" s="324">
        <f t="shared" ca="1" si="63"/>
        <v>195.39554286541716</v>
      </c>
      <c r="AG178" s="306">
        <f t="shared" ca="1" si="85"/>
        <v>-28.954057584033045</v>
      </c>
      <c r="AH178" s="304">
        <f t="shared" ca="1" si="86"/>
        <v>-19.340168892658962</v>
      </c>
    </row>
    <row r="179" spans="1:34" x14ac:dyDescent="0.3">
      <c r="A179" s="347">
        <f t="shared" ca="1" si="64"/>
        <v>0.01</v>
      </c>
      <c r="B179" s="304">
        <f t="shared" ca="1" si="65"/>
        <v>1.7500000000000013</v>
      </c>
      <c r="D179" s="306">
        <f t="shared" ca="1" si="66"/>
        <v>-3.8379214337497083</v>
      </c>
      <c r="E179" s="307">
        <f t="shared" ca="1" si="67"/>
        <v>-28.705683963903319</v>
      </c>
      <c r="F179" s="304">
        <f t="shared" ca="1" si="68"/>
        <v>28.96111069636542</v>
      </c>
      <c r="G179" s="306">
        <f t="shared" ca="1" si="69"/>
        <v>40.550535613733366</v>
      </c>
      <c r="H179" s="307">
        <f t="shared" ca="1" si="70"/>
        <v>199.54905764790772</v>
      </c>
      <c r="I179" s="304">
        <f t="shared" ca="1" si="71"/>
        <v>203.62753337092863</v>
      </c>
      <c r="J179" s="306">
        <f t="shared" ca="1" si="72"/>
        <v>38.65567062318847</v>
      </c>
      <c r="K179" s="307">
        <f t="shared" ca="1" si="73"/>
        <v>197.39246872609442</v>
      </c>
      <c r="L179" s="304">
        <f t="shared" ca="1" si="58"/>
        <v>201.14185934586217</v>
      </c>
      <c r="M179" s="306">
        <f t="shared" ca="1" si="74"/>
        <v>1.3703153165550646</v>
      </c>
      <c r="N179" s="304">
        <f t="shared" ca="1" si="75"/>
        <v>78.513284240738585</v>
      </c>
      <c r="P179" s="310">
        <f t="shared" ca="1" si="76"/>
        <v>23</v>
      </c>
      <c r="Q179" s="304">
        <f t="shared" ca="1" si="77"/>
        <v>0</v>
      </c>
      <c r="R179" s="306">
        <f t="shared" ca="1" si="78"/>
        <v>0</v>
      </c>
      <c r="S179" s="307">
        <f t="shared" ca="1" si="79"/>
        <v>8.0499999999999989</v>
      </c>
      <c r="T179" s="304">
        <f t="shared" ca="1" si="59"/>
        <v>78.970499999999987</v>
      </c>
      <c r="U179" s="311">
        <f t="shared" ca="1" si="60"/>
        <v>0</v>
      </c>
      <c r="V179" s="306">
        <f t="shared" ca="1" si="61"/>
        <v>1.2010557433773807</v>
      </c>
      <c r="W179" s="304">
        <f t="shared" ca="1" si="62"/>
        <v>154.74565084466551</v>
      </c>
      <c r="Y179" s="314" t="str">
        <f t="shared" ca="1" si="80"/>
        <v/>
      </c>
      <c r="Z179" s="315" t="str">
        <f t="shared" ca="1" si="81"/>
        <v/>
      </c>
      <c r="AA179" s="316" t="str">
        <f t="shared" ca="1" si="82"/>
        <v/>
      </c>
      <c r="AC179" s="310" t="e">
        <f t="shared" ca="1" si="83"/>
        <v>#N/A</v>
      </c>
      <c r="AD179" s="323" t="e">
        <f t="shared" ca="1" si="84"/>
        <v>#N/A</v>
      </c>
      <c r="AE179" s="324">
        <f t="shared" ca="1" si="63"/>
        <v>197.39246872609442</v>
      </c>
      <c r="AG179" s="306">
        <f t="shared" ca="1" si="85"/>
        <v>-28.895208874433941</v>
      </c>
      <c r="AH179" s="304">
        <f t="shared" ca="1" si="86"/>
        <v>-19.281507031229388</v>
      </c>
    </row>
    <row r="180" spans="1:34" x14ac:dyDescent="0.3">
      <c r="A180" s="347">
        <f t="shared" ca="1" si="64"/>
        <v>0.01</v>
      </c>
      <c r="B180" s="304">
        <f t="shared" ca="1" si="65"/>
        <v>1.7600000000000013</v>
      </c>
      <c r="D180" s="306">
        <f t="shared" ca="1" si="66"/>
        <v>-3.8280946398565718</v>
      </c>
      <c r="E180" s="307">
        <f t="shared" ca="1" si="67"/>
        <v>-28.648041629015516</v>
      </c>
      <c r="F180" s="304">
        <f t="shared" ca="1" si="68"/>
        <v>28.90267457778786</v>
      </c>
      <c r="G180" s="306">
        <f t="shared" ca="1" si="69"/>
        <v>40.512254667334801</v>
      </c>
      <c r="H180" s="307">
        <f t="shared" ca="1" si="70"/>
        <v>199.26257723161757</v>
      </c>
      <c r="I180" s="304">
        <f t="shared" ca="1" si="71"/>
        <v>203.33916854166918</v>
      </c>
      <c r="J180" s="306">
        <f t="shared" ca="1" si="72"/>
        <v>39.06098457459381</v>
      </c>
      <c r="K180" s="307">
        <f t="shared" ca="1" si="73"/>
        <v>199.38652690049204</v>
      </c>
      <c r="L180" s="304">
        <f t="shared" ca="1" si="58"/>
        <v>203.17664143640454</v>
      </c>
      <c r="M180" s="306">
        <f t="shared" ca="1" si="74"/>
        <v>1.370219242071389</v>
      </c>
      <c r="N180" s="304">
        <f t="shared" ca="1" si="75"/>
        <v>78.507779578305076</v>
      </c>
      <c r="P180" s="310">
        <f t="shared" ca="1" si="76"/>
        <v>23</v>
      </c>
      <c r="Q180" s="304">
        <f t="shared" ca="1" si="77"/>
        <v>0</v>
      </c>
      <c r="R180" s="306">
        <f t="shared" ca="1" si="78"/>
        <v>0</v>
      </c>
      <c r="S180" s="307">
        <f t="shared" ca="1" si="79"/>
        <v>8.0499999999999989</v>
      </c>
      <c r="T180" s="304">
        <f t="shared" ca="1" si="59"/>
        <v>78.970499999999987</v>
      </c>
      <c r="U180" s="311">
        <f t="shared" ca="1" si="60"/>
        <v>0</v>
      </c>
      <c r="V180" s="306">
        <f t="shared" ca="1" si="61"/>
        <v>1.2008162461886824</v>
      </c>
      <c r="W180" s="304">
        <f t="shared" ca="1" si="62"/>
        <v>154.27690876273914</v>
      </c>
      <c r="Y180" s="314" t="str">
        <f t="shared" ca="1" si="80"/>
        <v/>
      </c>
      <c r="Z180" s="315" t="str">
        <f t="shared" ca="1" si="81"/>
        <v/>
      </c>
      <c r="AA180" s="316" t="str">
        <f t="shared" ca="1" si="82"/>
        <v/>
      </c>
      <c r="AC180" s="310" t="e">
        <f t="shared" ca="1" si="83"/>
        <v>#N/A</v>
      </c>
      <c r="AD180" s="323" t="e">
        <f t="shared" ca="1" si="84"/>
        <v>#N/A</v>
      </c>
      <c r="AE180" s="324">
        <f t="shared" ca="1" si="63"/>
        <v>199.38652690049204</v>
      </c>
      <c r="AG180" s="306">
        <f t="shared" ca="1" si="85"/>
        <v>-28.836576770087422</v>
      </c>
      <c r="AH180" s="304">
        <f t="shared" ca="1" si="86"/>
        <v>-19.223062216728636</v>
      </c>
    </row>
    <row r="181" spans="1:34" x14ac:dyDescent="0.3">
      <c r="A181" s="347">
        <f t="shared" ca="1" si="64"/>
        <v>0.01</v>
      </c>
      <c r="B181" s="304">
        <f t="shared" ca="1" si="65"/>
        <v>1.7700000000000014</v>
      </c>
      <c r="D181" s="306">
        <f t="shared" ca="1" si="66"/>
        <v>-3.8183032633918721</v>
      </c>
      <c r="E181" s="307">
        <f t="shared" ca="1" si="67"/>
        <v>-28.590612315039401</v>
      </c>
      <c r="F181" s="304">
        <f t="shared" ca="1" si="68"/>
        <v>28.844454447260944</v>
      </c>
      <c r="G181" s="306">
        <f t="shared" ca="1" si="69"/>
        <v>40.474071634700884</v>
      </c>
      <c r="H181" s="307">
        <f t="shared" ca="1" si="70"/>
        <v>198.97667110846717</v>
      </c>
      <c r="I181" s="304">
        <f t="shared" ca="1" si="71"/>
        <v>203.05138788025562</v>
      </c>
      <c r="J181" s="306">
        <f t="shared" ca="1" si="72"/>
        <v>39.465916206103991</v>
      </c>
      <c r="K181" s="307">
        <f t="shared" ca="1" si="73"/>
        <v>201.37772314219248</v>
      </c>
      <c r="L181" s="304">
        <f t="shared" ca="1" si="58"/>
        <v>205.20854251205222</v>
      </c>
      <c r="M181" s="306">
        <f t="shared" ca="1" si="74"/>
        <v>1.3701229859370323</v>
      </c>
      <c r="N181" s="304">
        <f t="shared" ca="1" si="75"/>
        <v>78.502264508054196</v>
      </c>
      <c r="P181" s="310">
        <f t="shared" ca="1" si="76"/>
        <v>23</v>
      </c>
      <c r="Q181" s="304">
        <f t="shared" ca="1" si="77"/>
        <v>0</v>
      </c>
      <c r="R181" s="306">
        <f t="shared" ca="1" si="78"/>
        <v>0</v>
      </c>
      <c r="S181" s="307">
        <f t="shared" ca="1" si="79"/>
        <v>8.0499999999999989</v>
      </c>
      <c r="T181" s="304">
        <f t="shared" ca="1" si="59"/>
        <v>78.970499999999987</v>
      </c>
      <c r="U181" s="311">
        <f t="shared" ca="1" si="60"/>
        <v>0</v>
      </c>
      <c r="V181" s="306">
        <f t="shared" ca="1" si="61"/>
        <v>1.2005771399129292</v>
      </c>
      <c r="W181" s="304">
        <f t="shared" ca="1" si="62"/>
        <v>153.80989685552447</v>
      </c>
      <c r="Y181" s="314" t="str">
        <f t="shared" ca="1" si="80"/>
        <v/>
      </c>
      <c r="Z181" s="315" t="str">
        <f t="shared" ca="1" si="81"/>
        <v/>
      </c>
      <c r="AA181" s="316" t="str">
        <f t="shared" ca="1" si="82"/>
        <v/>
      </c>
      <c r="AC181" s="310" t="e">
        <f t="shared" ca="1" si="83"/>
        <v>#N/A</v>
      </c>
      <c r="AD181" s="323" t="e">
        <f t="shared" ca="1" si="84"/>
        <v>#N/A</v>
      </c>
      <c r="AE181" s="324">
        <f t="shared" ca="1" si="63"/>
        <v>201.37772314219248</v>
      </c>
      <c r="AG181" s="306">
        <f t="shared" ca="1" si="85"/>
        <v>-28.778160207384044</v>
      </c>
      <c r="AH181" s="304">
        <f t="shared" ca="1" si="86"/>
        <v>-19.164833386675671</v>
      </c>
    </row>
    <row r="182" spans="1:34" x14ac:dyDescent="0.3">
      <c r="A182" s="347">
        <f t="shared" ca="1" si="64"/>
        <v>0.01</v>
      </c>
      <c r="B182" s="304">
        <f t="shared" ca="1" si="65"/>
        <v>1.7800000000000014</v>
      </c>
      <c r="D182" s="306">
        <f t="shared" ca="1" si="66"/>
        <v>-3.8085471299986837</v>
      </c>
      <c r="E182" s="307">
        <f t="shared" ca="1" si="67"/>
        <v>-28.533394980531831</v>
      </c>
      <c r="F182" s="304">
        <f t="shared" ca="1" si="68"/>
        <v>28.786449248847283</v>
      </c>
      <c r="G182" s="306">
        <f t="shared" ca="1" si="69"/>
        <v>40.435986163400898</v>
      </c>
      <c r="H182" s="307">
        <f t="shared" ca="1" si="70"/>
        <v>198.69133715866187</v>
      </c>
      <c r="I182" s="304">
        <f t="shared" ca="1" si="71"/>
        <v>202.76418924184762</v>
      </c>
      <c r="J182" s="306">
        <f t="shared" ca="1" si="72"/>
        <v>39.870466495094497</v>
      </c>
      <c r="K182" s="307">
        <f t="shared" ca="1" si="73"/>
        <v>203.36606318352813</v>
      </c>
      <c r="L182" s="304">
        <f t="shared" ca="1" si="58"/>
        <v>207.23756839266187</v>
      </c>
      <c r="M182" s="306">
        <f t="shared" ca="1" si="74"/>
        <v>1.3700265478279532</v>
      </c>
      <c r="N182" s="304">
        <f t="shared" ca="1" si="75"/>
        <v>78.496739011419734</v>
      </c>
      <c r="P182" s="310">
        <f t="shared" ca="1" si="76"/>
        <v>23</v>
      </c>
      <c r="Q182" s="304">
        <f t="shared" ca="1" si="77"/>
        <v>0</v>
      </c>
      <c r="R182" s="306">
        <f t="shared" ca="1" si="78"/>
        <v>0</v>
      </c>
      <c r="S182" s="307">
        <f t="shared" ca="1" si="79"/>
        <v>8.0499999999999989</v>
      </c>
      <c r="T182" s="304">
        <f t="shared" ca="1" si="59"/>
        <v>78.970499999999987</v>
      </c>
      <c r="U182" s="311">
        <f t="shared" ca="1" si="60"/>
        <v>0</v>
      </c>
      <c r="V182" s="306">
        <f t="shared" ca="1" si="61"/>
        <v>1.2003384236447812</v>
      </c>
      <c r="W182" s="304">
        <f t="shared" ca="1" si="62"/>
        <v>153.34460667541512</v>
      </c>
      <c r="Y182" s="314" t="str">
        <f t="shared" ca="1" si="80"/>
        <v/>
      </c>
      <c r="Z182" s="315" t="str">
        <f t="shared" ca="1" si="81"/>
        <v/>
      </c>
      <c r="AA182" s="316" t="str">
        <f t="shared" ca="1" si="82"/>
        <v/>
      </c>
      <c r="AC182" s="310" t="e">
        <f t="shared" ca="1" si="83"/>
        <v>#N/A</v>
      </c>
      <c r="AD182" s="323" t="e">
        <f t="shared" ca="1" si="84"/>
        <v>#N/A</v>
      </c>
      <c r="AE182" s="324">
        <f t="shared" ca="1" si="63"/>
        <v>203.36606318352813</v>
      </c>
      <c r="AG182" s="306">
        <f t="shared" ca="1" si="85"/>
        <v>-28.719958129279199</v>
      </c>
      <c r="AH182" s="304">
        <f t="shared" ca="1" si="86"/>
        <v>-19.106819485158322</v>
      </c>
    </row>
    <row r="183" spans="1:34" x14ac:dyDescent="0.3">
      <c r="A183" s="347">
        <f t="shared" ca="1" si="64"/>
        <v>0.01</v>
      </c>
      <c r="B183" s="304">
        <f t="shared" ca="1" si="65"/>
        <v>1.7900000000000014</v>
      </c>
      <c r="D183" s="306">
        <f t="shared" ca="1" si="66"/>
        <v>-3.7988260663956366</v>
      </c>
      <c r="E183" s="307">
        <f t="shared" ca="1" si="67"/>
        <v>-28.476388590480362</v>
      </c>
      <c r="F183" s="304">
        <f t="shared" ca="1" si="68"/>
        <v>28.728657933129544</v>
      </c>
      <c r="G183" s="306">
        <f t="shared" ca="1" si="69"/>
        <v>40.39799790273694</v>
      </c>
      <c r="H183" s="307">
        <f t="shared" ca="1" si="70"/>
        <v>198.40657327275707</v>
      </c>
      <c r="I183" s="304">
        <f t="shared" ca="1" si="71"/>
        <v>202.4775704921102</v>
      </c>
      <c r="J183" s="306">
        <f t="shared" ca="1" si="72"/>
        <v>40.274636415425185</v>
      </c>
      <c r="K183" s="307">
        <f t="shared" ca="1" si="73"/>
        <v>205.35155273568523</v>
      </c>
      <c r="L183" s="304">
        <f t="shared" ca="1" si="58"/>
        <v>209.26372487689213</v>
      </c>
      <c r="M183" s="306">
        <f t="shared" ca="1" si="74"/>
        <v>1.3699299274191337</v>
      </c>
      <c r="N183" s="304">
        <f t="shared" ca="1" si="75"/>
        <v>78.491203069779559</v>
      </c>
      <c r="P183" s="310">
        <f t="shared" ca="1" si="76"/>
        <v>23</v>
      </c>
      <c r="Q183" s="304">
        <f t="shared" ca="1" si="77"/>
        <v>0</v>
      </c>
      <c r="R183" s="306">
        <f t="shared" ca="1" si="78"/>
        <v>0</v>
      </c>
      <c r="S183" s="307">
        <f t="shared" ca="1" si="79"/>
        <v>8.0499999999999989</v>
      </c>
      <c r="T183" s="304">
        <f t="shared" ca="1" si="59"/>
        <v>78.970499999999987</v>
      </c>
      <c r="U183" s="311">
        <f t="shared" ca="1" si="60"/>
        <v>0</v>
      </c>
      <c r="V183" s="306">
        <f t="shared" ca="1" si="61"/>
        <v>1.2001000964823938</v>
      </c>
      <c r="W183" s="304">
        <f t="shared" ca="1" si="62"/>
        <v>152.8810298269012</v>
      </c>
      <c r="Y183" s="314" t="str">
        <f t="shared" ca="1" si="80"/>
        <v/>
      </c>
      <c r="Z183" s="315" t="str">
        <f t="shared" ca="1" si="81"/>
        <v/>
      </c>
      <c r="AA183" s="316" t="str">
        <f t="shared" ca="1" si="82"/>
        <v/>
      </c>
      <c r="AC183" s="310" t="e">
        <f t="shared" ca="1" si="83"/>
        <v>#N/A</v>
      </c>
      <c r="AD183" s="323" t="e">
        <f t="shared" ca="1" si="84"/>
        <v>#N/A</v>
      </c>
      <c r="AE183" s="324">
        <f t="shared" ca="1" si="63"/>
        <v>205.35155273568523</v>
      </c>
      <c r="AG183" s="306">
        <f t="shared" ca="1" si="85"/>
        <v>-28.661969485244342</v>
      </c>
      <c r="AH183" s="304">
        <f t="shared" ca="1" si="86"/>
        <v>-19.049019462784489</v>
      </c>
    </row>
    <row r="184" spans="1:34" x14ac:dyDescent="0.3">
      <c r="A184" s="347">
        <f t="shared" ca="1" si="64"/>
        <v>0.01</v>
      </c>
      <c r="B184" s="304">
        <f t="shared" ca="1" si="65"/>
        <v>1.8000000000000014</v>
      </c>
      <c r="D184" s="306">
        <f t="shared" ca="1" si="66"/>
        <v>-3.7891399003689346</v>
      </c>
      <c r="E184" s="307">
        <f t="shared" ca="1" si="67"/>
        <v>-28.41959211625543</v>
      </c>
      <c r="F184" s="304">
        <f t="shared" ca="1" si="68"/>
        <v>28.67107945716198</v>
      </c>
      <c r="G184" s="306">
        <f t="shared" ca="1" si="69"/>
        <v>40.360106503733249</v>
      </c>
      <c r="H184" s="307">
        <f t="shared" ca="1" si="70"/>
        <v>198.12237735159451</v>
      </c>
      <c r="I184" s="304">
        <f t="shared" ca="1" si="71"/>
        <v>202.191529507149</v>
      </c>
      <c r="J184" s="306">
        <f t="shared" ca="1" si="72"/>
        <v>40.678426937457537</v>
      </c>
      <c r="K184" s="307">
        <f t="shared" ca="1" si="73"/>
        <v>207.33419748880698</v>
      </c>
      <c r="L184" s="304">
        <f t="shared" ca="1" si="58"/>
        <v>211.28701774229688</v>
      </c>
      <c r="M184" s="306">
        <f t="shared" ca="1" si="74"/>
        <v>1.3698331243845758</v>
      </c>
      <c r="N184" s="304">
        <f t="shared" ca="1" si="75"/>
        <v>78.485656664455334</v>
      </c>
      <c r="P184" s="310">
        <f t="shared" ca="1" si="76"/>
        <v>23</v>
      </c>
      <c r="Q184" s="304">
        <f t="shared" ca="1" si="77"/>
        <v>0</v>
      </c>
      <c r="R184" s="306">
        <f t="shared" ca="1" si="78"/>
        <v>0</v>
      </c>
      <c r="S184" s="307">
        <f t="shared" ca="1" si="79"/>
        <v>8.0499999999999989</v>
      </c>
      <c r="T184" s="304">
        <f t="shared" ca="1" si="59"/>
        <v>78.970499999999987</v>
      </c>
      <c r="U184" s="311">
        <f t="shared" ca="1" si="60"/>
        <v>0</v>
      </c>
      <c r="V184" s="306">
        <f t="shared" ca="1" si="61"/>
        <v>1.199862157527404</v>
      </c>
      <c r="W184" s="304">
        <f t="shared" ca="1" si="62"/>
        <v>152.41915796618326</v>
      </c>
      <c r="Y184" s="314" t="str">
        <f t="shared" ca="1" si="80"/>
        <v/>
      </c>
      <c r="Z184" s="315" t="str">
        <f t="shared" ca="1" si="81"/>
        <v/>
      </c>
      <c r="AA184" s="316" t="str">
        <f t="shared" ca="1" si="82"/>
        <v/>
      </c>
      <c r="AC184" s="310" t="e">
        <f t="shared" ca="1" si="83"/>
        <v>#N/A</v>
      </c>
      <c r="AD184" s="323" t="e">
        <f t="shared" ca="1" si="84"/>
        <v>#N/A</v>
      </c>
      <c r="AE184" s="324">
        <f t="shared" ca="1" si="63"/>
        <v>207.33419748880698</v>
      </c>
      <c r="AG184" s="306">
        <f t="shared" ca="1" si="85"/>
        <v>-28.604193231218485</v>
      </c>
      <c r="AH184" s="304">
        <f t="shared" ca="1" si="86"/>
        <v>-18.991432276633692</v>
      </c>
    </row>
    <row r="185" spans="1:34" x14ac:dyDescent="0.3">
      <c r="A185" s="347">
        <f t="shared" ca="1" si="64"/>
        <v>0.01</v>
      </c>
      <c r="B185" s="304">
        <f t="shared" ca="1" si="65"/>
        <v>1.8100000000000014</v>
      </c>
      <c r="D185" s="306">
        <f t="shared" ca="1" si="66"/>
        <v>-3.7794884607644477</v>
      </c>
      <c r="E185" s="307">
        <f t="shared" ca="1" si="67"/>
        <v>-28.363004535563057</v>
      </c>
      <c r="F185" s="304">
        <f t="shared" ca="1" si="68"/>
        <v>28.613712784422475</v>
      </c>
      <c r="G185" s="306">
        <f t="shared" ca="1" si="69"/>
        <v>40.322311619125607</v>
      </c>
      <c r="H185" s="307">
        <f t="shared" ca="1" si="70"/>
        <v>197.83874730623887</v>
      </c>
      <c r="I185" s="304">
        <f t="shared" ca="1" si="71"/>
        <v>201.90606417344605</v>
      </c>
      <c r="J185" s="306">
        <f t="shared" ca="1" si="72"/>
        <v>41.081839028071833</v>
      </c>
      <c r="K185" s="307">
        <f t="shared" ca="1" si="73"/>
        <v>209.31400311209615</v>
      </c>
      <c r="L185" s="304">
        <f t="shared" ca="1" si="58"/>
        <v>213.30745274541863</v>
      </c>
      <c r="M185" s="306">
        <f t="shared" ca="1" si="74"/>
        <v>1.3697361383972997</v>
      </c>
      <c r="N185" s="304">
        <f t="shared" ca="1" si="75"/>
        <v>78.480099776712493</v>
      </c>
      <c r="P185" s="310">
        <f t="shared" ca="1" si="76"/>
        <v>23</v>
      </c>
      <c r="Q185" s="304">
        <f t="shared" ca="1" si="77"/>
        <v>0</v>
      </c>
      <c r="R185" s="306">
        <f t="shared" ca="1" si="78"/>
        <v>0</v>
      </c>
      <c r="S185" s="307">
        <f t="shared" ca="1" si="79"/>
        <v>8.0499999999999989</v>
      </c>
      <c r="T185" s="304">
        <f t="shared" ca="1" si="59"/>
        <v>78.970499999999987</v>
      </c>
      <c r="U185" s="311">
        <f t="shared" ca="1" si="60"/>
        <v>0</v>
      </c>
      <c r="V185" s="306">
        <f t="shared" ca="1" si="61"/>
        <v>1.1996246058849072</v>
      </c>
      <c r="W185" s="304">
        <f t="shared" ca="1" si="62"/>
        <v>151.95898280078831</v>
      </c>
      <c r="Y185" s="314" t="str">
        <f t="shared" ca="1" si="80"/>
        <v/>
      </c>
      <c r="Z185" s="315" t="str">
        <f t="shared" ca="1" si="81"/>
        <v/>
      </c>
      <c r="AA185" s="316" t="str">
        <f t="shared" ca="1" si="82"/>
        <v/>
      </c>
      <c r="AC185" s="310" t="e">
        <f t="shared" ca="1" si="83"/>
        <v>#N/A</v>
      </c>
      <c r="AD185" s="323" t="e">
        <f t="shared" ca="1" si="84"/>
        <v>#N/A</v>
      </c>
      <c r="AE185" s="324">
        <f t="shared" ca="1" si="63"/>
        <v>209.31400311209615</v>
      </c>
      <c r="AG185" s="306">
        <f t="shared" ca="1" si="85"/>
        <v>-28.546628329560235</v>
      </c>
      <c r="AH185" s="304">
        <f t="shared" ca="1" si="86"/>
        <v>-18.934056890209103</v>
      </c>
    </row>
    <row r="186" spans="1:34" x14ac:dyDescent="0.3">
      <c r="A186" s="347">
        <f t="shared" ca="1" si="64"/>
        <v>0.01</v>
      </c>
      <c r="B186" s="304">
        <f t="shared" ca="1" si="65"/>
        <v>1.8200000000000014</v>
      </c>
      <c r="D186" s="306">
        <f t="shared" ca="1" si="66"/>
        <v>-3.7698715774798175</v>
      </c>
      <c r="E186" s="307">
        <f t="shared" ca="1" si="67"/>
        <v>-28.306624832397809</v>
      </c>
      <c r="F186" s="304">
        <f t="shared" ca="1" si="68"/>
        <v>28.556556884764845</v>
      </c>
      <c r="G186" s="306">
        <f t="shared" ca="1" si="69"/>
        <v>40.284612903350812</v>
      </c>
      <c r="H186" s="307">
        <f t="shared" ca="1" si="70"/>
        <v>197.55568105791488</v>
      </c>
      <c r="I186" s="304">
        <f t="shared" ca="1" si="71"/>
        <v>201.62117238779612</v>
      </c>
      <c r="J186" s="306">
        <f t="shared" ca="1" si="72"/>
        <v>41.484873650684214</v>
      </c>
      <c r="K186" s="307">
        <f t="shared" ca="1" si="73"/>
        <v>211.29097525391691</v>
      </c>
      <c r="L186" s="304">
        <f t="shared" ca="1" si="58"/>
        <v>215.32503562188157</v>
      </c>
      <c r="M186" s="306">
        <f t="shared" ca="1" si="74"/>
        <v>1.3696389691293394</v>
      </c>
      <c r="N186" s="304">
        <f t="shared" ca="1" si="75"/>
        <v>78.474532387759993</v>
      </c>
      <c r="P186" s="310">
        <f t="shared" ca="1" si="76"/>
        <v>23</v>
      </c>
      <c r="Q186" s="304">
        <f t="shared" ca="1" si="77"/>
        <v>0</v>
      </c>
      <c r="R186" s="306">
        <f t="shared" ca="1" si="78"/>
        <v>0</v>
      </c>
      <c r="S186" s="307">
        <f t="shared" ca="1" si="79"/>
        <v>8.0499999999999989</v>
      </c>
      <c r="T186" s="304">
        <f t="shared" ca="1" si="59"/>
        <v>78.970499999999987</v>
      </c>
      <c r="U186" s="311">
        <f t="shared" ca="1" si="60"/>
        <v>0</v>
      </c>
      <c r="V186" s="306">
        <f t="shared" ca="1" si="61"/>
        <v>1.1993874406634437</v>
      </c>
      <c r="W186" s="304">
        <f t="shared" ca="1" si="62"/>
        <v>151.50049608919076</v>
      </c>
      <c r="Y186" s="314" t="str">
        <f t="shared" ca="1" si="80"/>
        <v/>
      </c>
      <c r="Z186" s="315" t="str">
        <f t="shared" ca="1" si="81"/>
        <v/>
      </c>
      <c r="AA186" s="316" t="str">
        <f t="shared" ca="1" si="82"/>
        <v/>
      </c>
      <c r="AC186" s="310" t="e">
        <f t="shared" ca="1" si="83"/>
        <v>#N/A</v>
      </c>
      <c r="AD186" s="323" t="e">
        <f t="shared" ca="1" si="84"/>
        <v>#N/A</v>
      </c>
      <c r="AE186" s="324">
        <f t="shared" ca="1" si="63"/>
        <v>211.29097525391691</v>
      </c>
      <c r="AG186" s="306">
        <f t="shared" ca="1" si="85"/>
        <v>-28.489273749000084</v>
      </c>
      <c r="AH186" s="304">
        <f t="shared" ca="1" si="86"/>
        <v>-18.876892273389853</v>
      </c>
    </row>
    <row r="187" spans="1:34" x14ac:dyDescent="0.3">
      <c r="A187" s="347">
        <f t="shared" ca="1" si="64"/>
        <v>0.01</v>
      </c>
      <c r="B187" s="304">
        <f t="shared" ca="1" si="65"/>
        <v>1.8300000000000014</v>
      </c>
      <c r="D187" s="306">
        <f t="shared" ca="1" si="66"/>
        <v>-3.7602890814567114</v>
      </c>
      <c r="E187" s="307">
        <f t="shared" ca="1" si="67"/>
        <v>-28.250451996996382</v>
      </c>
      <c r="F187" s="304">
        <f t="shared" ca="1" si="68"/>
        <v>28.499610734371785</v>
      </c>
      <c r="G187" s="306">
        <f t="shared" ca="1" si="69"/>
        <v>40.247010012536244</v>
      </c>
      <c r="H187" s="307">
        <f t="shared" ca="1" si="70"/>
        <v>197.27317653794492</v>
      </c>
      <c r="I187" s="304">
        <f t="shared" ca="1" si="71"/>
        <v>201.33685205724356</v>
      </c>
      <c r="J187" s="306">
        <f t="shared" ca="1" si="72"/>
        <v>41.887531765263653</v>
      </c>
      <c r="K187" s="307">
        <f t="shared" ca="1" si="73"/>
        <v>213.26511954189621</v>
      </c>
      <c r="L187" s="304">
        <f t="shared" ca="1" si="58"/>
        <v>217.339772086485</v>
      </c>
      <c r="M187" s="306">
        <f t="shared" ca="1" si="74"/>
        <v>1.3695416162517402</v>
      </c>
      <c r="N187" s="304">
        <f t="shared" ca="1" si="75"/>
        <v>78.468954478750106</v>
      </c>
      <c r="P187" s="310">
        <f t="shared" ca="1" si="76"/>
        <v>23</v>
      </c>
      <c r="Q187" s="304">
        <f t="shared" ca="1" si="77"/>
        <v>0</v>
      </c>
      <c r="R187" s="306">
        <f t="shared" ca="1" si="78"/>
        <v>0</v>
      </c>
      <c r="S187" s="307">
        <f t="shared" ca="1" si="79"/>
        <v>8.0499999999999989</v>
      </c>
      <c r="T187" s="304">
        <f t="shared" ca="1" si="59"/>
        <v>78.970499999999987</v>
      </c>
      <c r="U187" s="311">
        <f t="shared" ca="1" si="60"/>
        <v>0</v>
      </c>
      <c r="V187" s="306">
        <f t="shared" ca="1" si="61"/>
        <v>1.1991506609749805</v>
      </c>
      <c r="W187" s="304">
        <f t="shared" ca="1" si="62"/>
        <v>151.04368964043584</v>
      </c>
      <c r="Y187" s="314" t="str">
        <f t="shared" ca="1" si="80"/>
        <v/>
      </c>
      <c r="Z187" s="315" t="str">
        <f t="shared" ca="1" si="81"/>
        <v/>
      </c>
      <c r="AA187" s="316" t="str">
        <f t="shared" ca="1" si="82"/>
        <v/>
      </c>
      <c r="AC187" s="310" t="e">
        <f t="shared" ca="1" si="83"/>
        <v>#N/A</v>
      </c>
      <c r="AD187" s="323" t="e">
        <f t="shared" ca="1" si="84"/>
        <v>#N/A</v>
      </c>
      <c r="AE187" s="324">
        <f t="shared" ca="1" si="63"/>
        <v>213.26511954189621</v>
      </c>
      <c r="AG187" s="306">
        <f t="shared" ca="1" si="85"/>
        <v>-28.432128464593301</v>
      </c>
      <c r="AH187" s="304">
        <f t="shared" ca="1" si="86"/>
        <v>-18.81993740238395</v>
      </c>
    </row>
    <row r="188" spans="1:34" x14ac:dyDescent="0.3">
      <c r="A188" s="347">
        <f t="shared" ca="1" si="64"/>
        <v>0.01</v>
      </c>
      <c r="B188" s="304">
        <f t="shared" ca="1" si="65"/>
        <v>1.8400000000000014</v>
      </c>
      <c r="D188" s="306">
        <f t="shared" ca="1" si="66"/>
        <v>-3.7507408046730895</v>
      </c>
      <c r="E188" s="307">
        <f t="shared" ca="1" si="67"/>
        <v>-28.19448502579138</v>
      </c>
      <c r="F188" s="304">
        <f t="shared" ca="1" si="68"/>
        <v>28.442873315707999</v>
      </c>
      <c r="G188" s="306">
        <f t="shared" ca="1" si="69"/>
        <v>40.209502604489515</v>
      </c>
      <c r="H188" s="307">
        <f t="shared" ca="1" si="70"/>
        <v>196.99123168768702</v>
      </c>
      <c r="I188" s="304">
        <f t="shared" ca="1" si="71"/>
        <v>201.05310109901922</v>
      </c>
      <c r="J188" s="306">
        <f t="shared" ca="1" si="72"/>
        <v>42.289814328348783</v>
      </c>
      <c r="K188" s="307">
        <f t="shared" ca="1" si="73"/>
        <v>215.23644158302437</v>
      </c>
      <c r="L188" s="304">
        <f t="shared" ca="1" si="58"/>
        <v>219.35166783329657</v>
      </c>
      <c r="M188" s="306">
        <f t="shared" ca="1" si="74"/>
        <v>1.369444079434555</v>
      </c>
      <c r="N188" s="304">
        <f t="shared" ca="1" si="75"/>
        <v>78.463366030778261</v>
      </c>
      <c r="P188" s="310">
        <f t="shared" ca="1" si="76"/>
        <v>23</v>
      </c>
      <c r="Q188" s="304">
        <f t="shared" ca="1" si="77"/>
        <v>0</v>
      </c>
      <c r="R188" s="306">
        <f t="shared" ca="1" si="78"/>
        <v>0</v>
      </c>
      <c r="S188" s="307">
        <f t="shared" ca="1" si="79"/>
        <v>8.0499999999999989</v>
      </c>
      <c r="T188" s="304">
        <f t="shared" ca="1" si="59"/>
        <v>78.970499999999987</v>
      </c>
      <c r="U188" s="311">
        <f t="shared" ca="1" si="60"/>
        <v>0</v>
      </c>
      <c r="V188" s="306">
        <f t="shared" ca="1" si="61"/>
        <v>1.1989142659348926</v>
      </c>
      <c r="W188" s="304">
        <f t="shared" ca="1" si="62"/>
        <v>150.5885553137658</v>
      </c>
      <c r="Y188" s="314" t="str">
        <f t="shared" ca="1" si="80"/>
        <v/>
      </c>
      <c r="Z188" s="315" t="str">
        <f t="shared" ca="1" si="81"/>
        <v/>
      </c>
      <c r="AA188" s="316" t="str">
        <f t="shared" ca="1" si="82"/>
        <v/>
      </c>
      <c r="AC188" s="310" t="e">
        <f t="shared" ca="1" si="83"/>
        <v>#N/A</v>
      </c>
      <c r="AD188" s="323" t="e">
        <f t="shared" ca="1" si="84"/>
        <v>#N/A</v>
      </c>
      <c r="AE188" s="324">
        <f t="shared" ca="1" si="63"/>
        <v>215.23644158302437</v>
      </c>
      <c r="AG188" s="306">
        <f t="shared" ca="1" si="85"/>
        <v>-28.375191457673118</v>
      </c>
      <c r="AH188" s="304">
        <f t="shared" ca="1" si="86"/>
        <v>-18.763191259681474</v>
      </c>
    </row>
    <row r="189" spans="1:34" x14ac:dyDescent="0.3">
      <c r="A189" s="347">
        <f t="shared" ca="1" si="64"/>
        <v>0.01</v>
      </c>
      <c r="B189" s="304">
        <f t="shared" ca="1" si="65"/>
        <v>1.8500000000000014</v>
      </c>
      <c r="D189" s="306">
        <f t="shared" ca="1" si="66"/>
        <v>-3.7412265801355606</v>
      </c>
      <c r="E189" s="307">
        <f t="shared" ca="1" si="67"/>
        <v>-28.138722921365613</v>
      </c>
      <c r="F189" s="304">
        <f t="shared" ca="1" si="68"/>
        <v>28.386343617473869</v>
      </c>
      <c r="G189" s="306">
        <f t="shared" ca="1" si="69"/>
        <v>40.172090338688157</v>
      </c>
      <c r="H189" s="307">
        <f t="shared" ca="1" si="70"/>
        <v>196.70984445847336</v>
      </c>
      <c r="I189" s="304">
        <f t="shared" ca="1" si="71"/>
        <v>200.76991744047837</v>
      </c>
      <c r="J189" s="306">
        <f t="shared" ca="1" si="72"/>
        <v>42.691722293064672</v>
      </c>
      <c r="K189" s="307">
        <f t="shared" ca="1" si="73"/>
        <v>217.20494696375516</v>
      </c>
      <c r="L189" s="304">
        <f t="shared" ca="1" si="58"/>
        <v>221.36072853574512</v>
      </c>
      <c r="M189" s="306">
        <f t="shared" ca="1" si="74"/>
        <v>1.3693463583468422</v>
      </c>
      <c r="N189" s="304">
        <f t="shared" ca="1" si="75"/>
        <v>78.457767024882884</v>
      </c>
      <c r="P189" s="310">
        <f t="shared" ca="1" si="76"/>
        <v>23</v>
      </c>
      <c r="Q189" s="304">
        <f t="shared" ca="1" si="77"/>
        <v>0</v>
      </c>
      <c r="R189" s="306">
        <f t="shared" ca="1" si="78"/>
        <v>0</v>
      </c>
      <c r="S189" s="307">
        <f t="shared" ca="1" si="79"/>
        <v>8.0499999999999989</v>
      </c>
      <c r="T189" s="304">
        <f t="shared" ca="1" si="59"/>
        <v>78.970499999999987</v>
      </c>
      <c r="U189" s="311">
        <f t="shared" ca="1" si="60"/>
        <v>0</v>
      </c>
      <c r="V189" s="306">
        <f t="shared" ca="1" si="61"/>
        <v>1.198678254661947</v>
      </c>
      <c r="W189" s="304">
        <f t="shared" ca="1" si="62"/>
        <v>150.13508501825007</v>
      </c>
      <c r="Y189" s="314" t="str">
        <f t="shared" ca="1" si="80"/>
        <v/>
      </c>
      <c r="Z189" s="315" t="str">
        <f t="shared" ca="1" si="81"/>
        <v/>
      </c>
      <c r="AA189" s="316" t="str">
        <f t="shared" ca="1" si="82"/>
        <v/>
      </c>
      <c r="AC189" s="310" t="e">
        <f t="shared" ca="1" si="83"/>
        <v>#N/A</v>
      </c>
      <c r="AD189" s="323" t="e">
        <f t="shared" ca="1" si="84"/>
        <v>#N/A</v>
      </c>
      <c r="AE189" s="324">
        <f t="shared" ca="1" si="63"/>
        <v>217.20494696375516</v>
      </c>
      <c r="AG189" s="306">
        <f t="shared" ca="1" si="85"/>
        <v>-28.318461715804311</v>
      </c>
      <c r="AH189" s="304">
        <f t="shared" ca="1" si="86"/>
        <v>-18.706652834008175</v>
      </c>
    </row>
    <row r="190" spans="1:34" x14ac:dyDescent="0.3">
      <c r="A190" s="347">
        <f t="shared" ca="1" si="64"/>
        <v>0.01</v>
      </c>
      <c r="B190" s="304">
        <f t="shared" ca="1" si="65"/>
        <v>1.8600000000000014</v>
      </c>
      <c r="D190" s="306">
        <f t="shared" ca="1" si="66"/>
        <v>-3.7317462418717788</v>
      </c>
      <c r="E190" s="307">
        <f t="shared" ca="1" si="67"/>
        <v>-28.083164692406733</v>
      </c>
      <c r="F190" s="304">
        <f t="shared" ca="1" si="68"/>
        <v>28.33002063455945</v>
      </c>
      <c r="G190" s="306">
        <f t="shared" ca="1" si="69"/>
        <v>40.134772876269437</v>
      </c>
      <c r="H190" s="307">
        <f t="shared" ca="1" si="70"/>
        <v>196.42901281154928</v>
      </c>
      <c r="I190" s="304">
        <f t="shared" ca="1" si="71"/>
        <v>200.48729901903891</v>
      </c>
      <c r="J190" s="306">
        <f t="shared" ca="1" si="72"/>
        <v>43.093256609139459</v>
      </c>
      <c r="K190" s="307">
        <f t="shared" ca="1" si="73"/>
        <v>219.17064125010526</v>
      </c>
      <c r="L190" s="304">
        <f t="shared" ca="1" si="58"/>
        <v>223.36695984671388</v>
      </c>
      <c r="M190" s="306">
        <f t="shared" ca="1" si="74"/>
        <v>1.3692484526566615</v>
      </c>
      <c r="N190" s="304">
        <f t="shared" ca="1" si="75"/>
        <v>78.45215744204522</v>
      </c>
      <c r="P190" s="310">
        <f t="shared" ca="1" si="76"/>
        <v>23</v>
      </c>
      <c r="Q190" s="304">
        <f t="shared" ca="1" si="77"/>
        <v>0</v>
      </c>
      <c r="R190" s="306">
        <f t="shared" ca="1" si="78"/>
        <v>0</v>
      </c>
      <c r="S190" s="307">
        <f t="shared" ca="1" si="79"/>
        <v>8.0499999999999989</v>
      </c>
      <c r="T190" s="304">
        <f t="shared" ca="1" si="59"/>
        <v>78.970499999999987</v>
      </c>
      <c r="U190" s="311">
        <f t="shared" ca="1" si="60"/>
        <v>0</v>
      </c>
      <c r="V190" s="306">
        <f t="shared" ca="1" si="61"/>
        <v>1.1984426262782877</v>
      </c>
      <c r="W190" s="304">
        <f t="shared" ca="1" si="62"/>
        <v>149.68327071241924</v>
      </c>
      <c r="Y190" s="314" t="str">
        <f t="shared" ca="1" si="80"/>
        <v/>
      </c>
      <c r="Z190" s="315" t="str">
        <f t="shared" ca="1" si="81"/>
        <v/>
      </c>
      <c r="AA190" s="316" t="str">
        <f t="shared" ca="1" si="82"/>
        <v/>
      </c>
      <c r="AC190" s="310" t="e">
        <f t="shared" ca="1" si="83"/>
        <v>#N/A</v>
      </c>
      <c r="AD190" s="323" t="e">
        <f t="shared" ca="1" si="84"/>
        <v>#N/A</v>
      </c>
      <c r="AE190" s="324">
        <f t="shared" ca="1" si="63"/>
        <v>219.17064125010526</v>
      </c>
      <c r="AG190" s="306">
        <f t="shared" ca="1" si="85"/>
        <v>-28.261938232737222</v>
      </c>
      <c r="AH190" s="304">
        <f t="shared" ca="1" si="86"/>
        <v>-18.650321120279514</v>
      </c>
    </row>
    <row r="191" spans="1:34" x14ac:dyDescent="0.3">
      <c r="A191" s="347">
        <f t="shared" ca="1" si="64"/>
        <v>0.01</v>
      </c>
      <c r="B191" s="304">
        <f t="shared" ca="1" si="65"/>
        <v>1.8700000000000014</v>
      </c>
      <c r="D191" s="306">
        <f t="shared" ca="1" si="66"/>
        <v>-3.7222996249229556</v>
      </c>
      <c r="E191" s="307">
        <f t="shared" ca="1" si="67"/>
        <v>-28.027809353662377</v>
      </c>
      <c r="F191" s="304">
        <f t="shared" ca="1" si="68"/>
        <v>28.273903367999011</v>
      </c>
      <c r="G191" s="306">
        <f t="shared" ca="1" si="69"/>
        <v>40.09754988002021</v>
      </c>
      <c r="H191" s="307">
        <f t="shared" ca="1" si="70"/>
        <v>196.14873471801266</v>
      </c>
      <c r="I191" s="304">
        <f t="shared" ca="1" si="71"/>
        <v>200.20524378211977</v>
      </c>
      <c r="J191" s="306">
        <f t="shared" ca="1" si="72"/>
        <v>43.494418222920906</v>
      </c>
      <c r="K191" s="307">
        <f t="shared" ca="1" si="73"/>
        <v>221.13352998775306</v>
      </c>
      <c r="L191" s="304">
        <f t="shared" ca="1" si="58"/>
        <v>225.37036739863302</v>
      </c>
      <c r="M191" s="306">
        <f t="shared" ca="1" si="74"/>
        <v>1.3691503620310712</v>
      </c>
      <c r="N191" s="304">
        <f t="shared" ca="1" si="75"/>
        <v>78.4465372631891</v>
      </c>
      <c r="P191" s="310">
        <f t="shared" ca="1" si="76"/>
        <v>23</v>
      </c>
      <c r="Q191" s="304">
        <f t="shared" ca="1" si="77"/>
        <v>0</v>
      </c>
      <c r="R191" s="306">
        <f t="shared" ca="1" si="78"/>
        <v>0</v>
      </c>
      <c r="S191" s="307">
        <f t="shared" ca="1" si="79"/>
        <v>8.0499999999999989</v>
      </c>
      <c r="T191" s="304">
        <f t="shared" ca="1" si="59"/>
        <v>78.970499999999987</v>
      </c>
      <c r="U191" s="311">
        <f t="shared" ca="1" si="60"/>
        <v>0</v>
      </c>
      <c r="V191" s="306">
        <f t="shared" ca="1" si="61"/>
        <v>1.1982073799094128</v>
      </c>
      <c r="W191" s="304">
        <f t="shared" ca="1" si="62"/>
        <v>149.2331044038998</v>
      </c>
      <c r="Y191" s="314" t="str">
        <f t="shared" ca="1" si="80"/>
        <v/>
      </c>
      <c r="Z191" s="315" t="str">
        <f t="shared" ca="1" si="81"/>
        <v/>
      </c>
      <c r="AA191" s="316" t="str">
        <f t="shared" ca="1" si="82"/>
        <v/>
      </c>
      <c r="AC191" s="310" t="e">
        <f t="shared" ca="1" si="83"/>
        <v>#N/A</v>
      </c>
      <c r="AD191" s="323" t="e">
        <f t="shared" ca="1" si="84"/>
        <v>#N/A</v>
      </c>
      <c r="AE191" s="324">
        <f t="shared" ca="1" si="63"/>
        <v>221.13352998775306</v>
      </c>
      <c r="AG191" s="306">
        <f t="shared" ca="1" si="85"/>
        <v>-28.205620008362271</v>
      </c>
      <c r="AH191" s="304">
        <f t="shared" ca="1" si="86"/>
        <v>-18.594195119555188</v>
      </c>
    </row>
    <row r="192" spans="1:34" x14ac:dyDescent="0.3">
      <c r="A192" s="347">
        <f t="shared" ca="1" si="64"/>
        <v>0.01</v>
      </c>
      <c r="B192" s="304">
        <f t="shared" ca="1" si="65"/>
        <v>1.8800000000000014</v>
      </c>
      <c r="D192" s="306">
        <f t="shared" ca="1" si="66"/>
        <v>-3.7128865653363752</v>
      </c>
      <c r="E192" s="307">
        <f t="shared" ca="1" si="67"/>
        <v>-27.972655925895459</v>
      </c>
      <c r="F192" s="304">
        <f t="shared" ca="1" si="68"/>
        <v>28.217990824925675</v>
      </c>
      <c r="G192" s="306">
        <f t="shared" ca="1" si="69"/>
        <v>40.060421014366845</v>
      </c>
      <c r="H192" s="307">
        <f t="shared" ca="1" si="70"/>
        <v>195.8690081587537</v>
      </c>
      <c r="I192" s="304">
        <f t="shared" ca="1" si="71"/>
        <v>199.92374968708006</v>
      </c>
      <c r="J192" s="306">
        <f t="shared" ca="1" si="72"/>
        <v>43.895208077392844</v>
      </c>
      <c r="K192" s="307">
        <f t="shared" ca="1" si="73"/>
        <v>223.09361870213689</v>
      </c>
      <c r="L192" s="304">
        <f t="shared" ca="1" si="58"/>
        <v>227.37095680357254</v>
      </c>
      <c r="M192" s="306">
        <f t="shared" ca="1" si="74"/>
        <v>1.3690520861361251</v>
      </c>
      <c r="N192" s="304">
        <f t="shared" ca="1" si="75"/>
        <v>78.440906469180803</v>
      </c>
      <c r="P192" s="310">
        <f t="shared" ca="1" si="76"/>
        <v>23</v>
      </c>
      <c r="Q192" s="304">
        <f t="shared" ca="1" si="77"/>
        <v>0</v>
      </c>
      <c r="R192" s="306">
        <f t="shared" ca="1" si="78"/>
        <v>0</v>
      </c>
      <c r="S192" s="307">
        <f t="shared" ca="1" si="79"/>
        <v>8.0499999999999989</v>
      </c>
      <c r="T192" s="304">
        <f t="shared" ca="1" si="59"/>
        <v>78.970499999999987</v>
      </c>
      <c r="U192" s="311">
        <f t="shared" ca="1" si="60"/>
        <v>0</v>
      </c>
      <c r="V192" s="306">
        <f t="shared" ca="1" si="61"/>
        <v>1.1979725146841649</v>
      </c>
      <c r="W192" s="304">
        <f t="shared" ca="1" si="62"/>
        <v>148.78457814905497</v>
      </c>
      <c r="Y192" s="314" t="str">
        <f t="shared" ca="1" si="80"/>
        <v/>
      </c>
      <c r="Z192" s="315" t="str">
        <f t="shared" ca="1" si="81"/>
        <v/>
      </c>
      <c r="AA192" s="316" t="str">
        <f t="shared" ca="1" si="82"/>
        <v/>
      </c>
      <c r="AC192" s="310" t="e">
        <f t="shared" ca="1" si="83"/>
        <v>#N/A</v>
      </c>
      <c r="AD192" s="323" t="e">
        <f t="shared" ca="1" si="84"/>
        <v>#N/A</v>
      </c>
      <c r="AE192" s="324">
        <f t="shared" ca="1" si="63"/>
        <v>223.09361870213689</v>
      </c>
      <c r="AG192" s="306">
        <f t="shared" ca="1" si="85"/>
        <v>-28.149506048664563</v>
      </c>
      <c r="AH192" s="304">
        <f t="shared" ca="1" si="86"/>
        <v>-18.538273838993767</v>
      </c>
    </row>
    <row r="193" spans="1:34" x14ac:dyDescent="0.3">
      <c r="A193" s="347">
        <f t="shared" ca="1" si="64"/>
        <v>0.01</v>
      </c>
      <c r="B193" s="304">
        <f t="shared" ca="1" si="65"/>
        <v>1.8900000000000015</v>
      </c>
      <c r="D193" s="306">
        <f t="shared" ca="1" si="66"/>
        <v>-3.7035069001580236</v>
      </c>
      <c r="E193" s="307">
        <f t="shared" ca="1" si="67"/>
        <v>-27.917703435840124</v>
      </c>
      <c r="F193" s="304">
        <f t="shared" ca="1" si="68"/>
        <v>28.162282018526795</v>
      </c>
      <c r="G193" s="306">
        <f t="shared" ca="1" si="69"/>
        <v>40.023385945365263</v>
      </c>
      <c r="H193" s="307">
        <f t="shared" ca="1" si="70"/>
        <v>195.58983112439529</v>
      </c>
      <c r="I193" s="304">
        <f t="shared" ca="1" si="71"/>
        <v>199.64281470115856</v>
      </c>
      <c r="J193" s="306">
        <f t="shared" ca="1" si="72"/>
        <v>44.295627112191504</v>
      </c>
      <c r="K193" s="307">
        <f t="shared" ca="1" si="73"/>
        <v>225.05091289855264</v>
      </c>
      <c r="L193" s="304">
        <f t="shared" ca="1" si="58"/>
        <v>229.36873365333437</v>
      </c>
      <c r="M193" s="306">
        <f t="shared" ca="1" si="74"/>
        <v>1.368953624636869</v>
      </c>
      <c r="N193" s="304">
        <f t="shared" ca="1" si="75"/>
        <v>78.435265040828909</v>
      </c>
      <c r="P193" s="310">
        <f t="shared" ca="1" si="76"/>
        <v>23</v>
      </c>
      <c r="Q193" s="304">
        <f t="shared" ca="1" si="77"/>
        <v>0</v>
      </c>
      <c r="R193" s="306">
        <f t="shared" ca="1" si="78"/>
        <v>0</v>
      </c>
      <c r="S193" s="307">
        <f t="shared" ca="1" si="79"/>
        <v>8.0499999999999989</v>
      </c>
      <c r="T193" s="304">
        <f t="shared" ca="1" si="59"/>
        <v>78.970499999999987</v>
      </c>
      <c r="U193" s="311">
        <f t="shared" ca="1" si="60"/>
        <v>0</v>
      </c>
      <c r="V193" s="306">
        <f t="shared" ca="1" si="61"/>
        <v>1.1977380297347082</v>
      </c>
      <c r="W193" s="304">
        <f t="shared" ca="1" si="62"/>
        <v>148.33768405262632</v>
      </c>
      <c r="Y193" s="314" t="str">
        <f t="shared" ca="1" si="80"/>
        <v/>
      </c>
      <c r="Z193" s="315" t="str">
        <f t="shared" ca="1" si="81"/>
        <v/>
      </c>
      <c r="AA193" s="316" t="str">
        <f t="shared" ca="1" si="82"/>
        <v/>
      </c>
      <c r="AC193" s="310" t="e">
        <f t="shared" ca="1" si="83"/>
        <v>#N/A</v>
      </c>
      <c r="AD193" s="323" t="e">
        <f t="shared" ca="1" si="84"/>
        <v>#N/A</v>
      </c>
      <c r="AE193" s="324">
        <f t="shared" ca="1" si="63"/>
        <v>225.05091289855264</v>
      </c>
      <c r="AG193" s="306">
        <f t="shared" ca="1" si="85"/>
        <v>-28.093595365679285</v>
      </c>
      <c r="AH193" s="304">
        <f t="shared" ca="1" si="86"/>
        <v>-18.482556291808073</v>
      </c>
    </row>
    <row r="194" spans="1:34" x14ac:dyDescent="0.3">
      <c r="A194" s="347">
        <f t="shared" ca="1" si="64"/>
        <v>0.01</v>
      </c>
      <c r="B194" s="304">
        <f t="shared" ca="1" si="65"/>
        <v>1.9000000000000015</v>
      </c>
      <c r="D194" s="306">
        <f t="shared" ca="1" si="66"/>
        <v>-3.694160467425248</v>
      </c>
      <c r="E194" s="307">
        <f t="shared" ca="1" si="67"/>
        <v>-27.862950916157857</v>
      </c>
      <c r="F194" s="304">
        <f t="shared" ca="1" si="68"/>
        <v>28.106775967999415</v>
      </c>
      <c r="G194" s="306">
        <f t="shared" ca="1" si="69"/>
        <v>39.986444340691008</v>
      </c>
      <c r="H194" s="307">
        <f t="shared" ca="1" si="70"/>
        <v>195.3112016152337</v>
      </c>
      <c r="I194" s="304">
        <f t="shared" ca="1" si="71"/>
        <v>199.36243680141362</v>
      </c>
      <c r="J194" s="306">
        <f t="shared" ca="1" si="72"/>
        <v>44.695676263621785</v>
      </c>
      <c r="K194" s="307">
        <f t="shared" ca="1" si="73"/>
        <v>227.00541806225078</v>
      </c>
      <c r="L194" s="304">
        <f t="shared" ca="1" si="58"/>
        <v>231.3637035195446</v>
      </c>
      <c r="M194" s="306">
        <f t="shared" ca="1" si="74"/>
        <v>1.3688549771973377</v>
      </c>
      <c r="N194" s="304">
        <f t="shared" ca="1" si="75"/>
        <v>78.429612958883993</v>
      </c>
      <c r="P194" s="310">
        <f t="shared" ca="1" si="76"/>
        <v>23</v>
      </c>
      <c r="Q194" s="304">
        <f t="shared" ca="1" si="77"/>
        <v>0</v>
      </c>
      <c r="R194" s="306">
        <f t="shared" ca="1" si="78"/>
        <v>0</v>
      </c>
      <c r="S194" s="307">
        <f t="shared" ca="1" si="79"/>
        <v>8.0499999999999989</v>
      </c>
      <c r="T194" s="304">
        <f t="shared" ca="1" si="59"/>
        <v>78.970499999999987</v>
      </c>
      <c r="U194" s="311">
        <f t="shared" ca="1" si="60"/>
        <v>0</v>
      </c>
      <c r="V194" s="306">
        <f t="shared" ca="1" si="61"/>
        <v>1.1975039241965164</v>
      </c>
      <c r="W194" s="304">
        <f t="shared" ca="1" si="62"/>
        <v>147.89241426737976</v>
      </c>
      <c r="Y194" s="314" t="str">
        <f t="shared" ca="1" si="80"/>
        <v/>
      </c>
      <c r="Z194" s="315" t="str">
        <f t="shared" ca="1" si="81"/>
        <v/>
      </c>
      <c r="AA194" s="316" t="str">
        <f t="shared" ca="1" si="82"/>
        <v/>
      </c>
      <c r="AC194" s="310" t="e">
        <f t="shared" ca="1" si="83"/>
        <v>#N/A</v>
      </c>
      <c r="AD194" s="323" t="e">
        <f t="shared" ca="1" si="84"/>
        <v>#N/A</v>
      </c>
      <c r="AE194" s="324">
        <f t="shared" ca="1" si="63"/>
        <v>227.00541806225078</v>
      </c>
      <c r="AG194" s="306">
        <f t="shared" ca="1" si="85"/>
        <v>-28.037886977447123</v>
      </c>
      <c r="AH194" s="304">
        <f t="shared" ca="1" si="86"/>
        <v>-18.427041497220664</v>
      </c>
    </row>
    <row r="195" spans="1:34" x14ac:dyDescent="0.3">
      <c r="A195" s="347">
        <f t="shared" ca="1" si="64"/>
        <v>0.01</v>
      </c>
      <c r="B195" s="304">
        <f t="shared" ca="1" si="65"/>
        <v>1.9100000000000015</v>
      </c>
      <c r="D195" s="306">
        <f t="shared" ca="1" si="66"/>
        <v>-3.6848471061595021</v>
      </c>
      <c r="E195" s="307">
        <f t="shared" ca="1" si="67"/>
        <v>-27.808397405394118</v>
      </c>
      <c r="F195" s="304">
        <f t="shared" ca="1" si="68"/>
        <v>28.051471698506344</v>
      </c>
      <c r="G195" s="306">
        <f t="shared" ca="1" si="69"/>
        <v>39.949595869629412</v>
      </c>
      <c r="H195" s="307">
        <f t="shared" ca="1" si="70"/>
        <v>195.03311764117976</v>
      </c>
      <c r="I195" s="304">
        <f t="shared" ca="1" si="71"/>
        <v>199.08261397466373</v>
      </c>
      <c r="J195" s="306">
        <f t="shared" ca="1" si="72"/>
        <v>45.095356464673387</v>
      </c>
      <c r="K195" s="307">
        <f t="shared" ca="1" si="73"/>
        <v>228.95713965853284</v>
      </c>
      <c r="L195" s="304">
        <f t="shared" ca="1" si="58"/>
        <v>233.35587195374549</v>
      </c>
      <c r="M195" s="306">
        <f t="shared" ca="1" si="74"/>
        <v>1.3687561434805515</v>
      </c>
      <c r="N195" s="304">
        <f t="shared" ca="1" si="75"/>
        <v>78.423950204038547</v>
      </c>
      <c r="P195" s="310">
        <f t="shared" ca="1" si="76"/>
        <v>23</v>
      </c>
      <c r="Q195" s="304">
        <f t="shared" ca="1" si="77"/>
        <v>0</v>
      </c>
      <c r="R195" s="306">
        <f t="shared" ca="1" si="78"/>
        <v>0</v>
      </c>
      <c r="S195" s="307">
        <f t="shared" ca="1" si="79"/>
        <v>8.0499999999999989</v>
      </c>
      <c r="T195" s="304">
        <f t="shared" ca="1" si="59"/>
        <v>78.970499999999987</v>
      </c>
      <c r="U195" s="311">
        <f t="shared" ca="1" si="60"/>
        <v>0</v>
      </c>
      <c r="V195" s="306">
        <f t="shared" ca="1" si="61"/>
        <v>1.197270197208353</v>
      </c>
      <c r="W195" s="304">
        <f t="shared" ca="1" si="62"/>
        <v>147.44876099375426</v>
      </c>
      <c r="Y195" s="314" t="str">
        <f t="shared" ca="1" si="80"/>
        <v/>
      </c>
      <c r="Z195" s="315" t="str">
        <f t="shared" ca="1" si="81"/>
        <v/>
      </c>
      <c r="AA195" s="316" t="str">
        <f t="shared" ca="1" si="82"/>
        <v/>
      </c>
      <c r="AC195" s="310" t="e">
        <f t="shared" ca="1" si="83"/>
        <v>#N/A</v>
      </c>
      <c r="AD195" s="323" t="e">
        <f t="shared" ca="1" si="84"/>
        <v>#N/A</v>
      </c>
      <c r="AE195" s="324">
        <f t="shared" ca="1" si="63"/>
        <v>228.95713965853284</v>
      </c>
      <c r="AG195" s="306">
        <f t="shared" ca="1" si="85"/>
        <v>-27.982379907970298</v>
      </c>
      <c r="AH195" s="304">
        <f t="shared" ca="1" si="86"/>
        <v>-18.371728480419847</v>
      </c>
    </row>
    <row r="196" spans="1:34" x14ac:dyDescent="0.3">
      <c r="A196" s="347">
        <f t="shared" ca="1" si="64"/>
        <v>0.01</v>
      </c>
      <c r="B196" s="304">
        <f t="shared" ca="1" si="65"/>
        <v>1.9200000000000015</v>
      </c>
      <c r="D196" s="306">
        <f t="shared" ca="1" si="66"/>
        <v>-3.6755666563591527</v>
      </c>
      <c r="E196" s="307">
        <f t="shared" ca="1" si="67"/>
        <v>-27.754041947935278</v>
      </c>
      <c r="F196" s="304">
        <f t="shared" ca="1" si="68"/>
        <v>27.996368241132462</v>
      </c>
      <c r="G196" s="306">
        <f t="shared" ca="1" si="69"/>
        <v>39.912840203065819</v>
      </c>
      <c r="H196" s="307">
        <f t="shared" ca="1" si="70"/>
        <v>194.75557722170041</v>
      </c>
      <c r="I196" s="304">
        <f t="shared" ca="1" si="71"/>
        <v>198.80334421742802</v>
      </c>
      <c r="J196" s="306">
        <f t="shared" ca="1" si="72"/>
        <v>45.49466864503686</v>
      </c>
      <c r="K196" s="307">
        <f t="shared" ca="1" si="73"/>
        <v>230.90608313284724</v>
      </c>
      <c r="L196" s="304">
        <f t="shared" ref="L196:L259" ca="1" si="87">SQRT(pos_x^2+pos_z^2)</f>
        <v>235.34524448748707</v>
      </c>
      <c r="M196" s="306">
        <f t="shared" ca="1" si="74"/>
        <v>1.3686571231485138</v>
      </c>
      <c r="N196" s="304">
        <f t="shared" ca="1" si="75"/>
        <v>78.418276756926815</v>
      </c>
      <c r="P196" s="310">
        <f t="shared" ca="1" si="76"/>
        <v>23</v>
      </c>
      <c r="Q196" s="304">
        <f t="shared" ca="1" si="77"/>
        <v>0</v>
      </c>
      <c r="R196" s="306">
        <f t="shared" ca="1" si="78"/>
        <v>0</v>
      </c>
      <c r="S196" s="307">
        <f t="shared" ca="1" si="79"/>
        <v>8.0499999999999989</v>
      </c>
      <c r="T196" s="304">
        <f t="shared" ref="T196:T259" ca="1" si="88">m*g</f>
        <v>78.970499999999987</v>
      </c>
      <c r="U196" s="311">
        <f t="shared" ref="U196:U259" ca="1" si="89">IF(pos_xz&lt;L_rampe,Poids*COS(Beta),0)</f>
        <v>0</v>
      </c>
      <c r="V196" s="306">
        <f t="shared" ref="V196:V259" ca="1" si="90">Rho_moyen*(20000-Alt_rampe-pos_z)/(20000+Alt_rampe+pos_z)</f>
        <v>1.197036847912258</v>
      </c>
      <c r="W196" s="304">
        <f t="shared" ref="W196:W259" ca="1" si="91">1/2*Rho*Sref*Cx*vit_xz^2</f>
        <v>147.00671647951316</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230.90608313284724</v>
      </c>
      <c r="AG196" s="306">
        <f t="shared" ca="1" si="85"/>
        <v>-27.927073187168922</v>
      </c>
      <c r="AH196" s="304">
        <f t="shared" ca="1" si="86"/>
        <v>-18.316616272516061</v>
      </c>
    </row>
    <row r="197" spans="1:34" x14ac:dyDescent="0.3">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-3.6663189589923055</v>
      </c>
      <c r="E197" s="307">
        <f t="shared" ref="E197:E260" ca="1" si="96">IF(AND(L196&lt;L_rampe,Poussee&lt;Poids*SIN(M196)),0,(-W196+Poussee)/m*SIN(M196)+U196/m*COS(M196)-Poids/m)</f>
        <v>-27.699883593965922</v>
      </c>
      <c r="F197" s="304">
        <f t="shared" ref="F197:F260" ca="1" si="97">SQRT(acc_x^2+acc_z^2)</f>
        <v>27.941464632841438</v>
      </c>
      <c r="G197" s="306">
        <f t="shared" ref="G197:G260" ca="1" si="98">G196+acc_x*pas</f>
        <v>39.876177013475896</v>
      </c>
      <c r="H197" s="307">
        <f t="shared" ref="H197:H260" ca="1" si="99">H196+acc_z*pas</f>
        <v>194.47857838576076</v>
      </c>
      <c r="I197" s="304">
        <f t="shared" ref="I197:I260" ca="1" si="100">SQRT(vit_x^2+vit_z^2)</f>
        <v>198.52462553586784</v>
      </c>
      <c r="J197" s="306">
        <f t="shared" ref="J197:J260" ca="1" si="101">J196+0.5*(vit_x+G196)*pas*(K196&gt;=0)</f>
        <v>45.893613731119572</v>
      </c>
      <c r="K197" s="307">
        <f t="shared" ref="K197:K260" ca="1" si="102">K196+0.5*(vit_z+H196)*pas</f>
        <v>232.85225391088454</v>
      </c>
      <c r="L197" s="304">
        <f t="shared" ca="1" si="87"/>
        <v>237.33182663241831</v>
      </c>
      <c r="M197" s="306">
        <f t="shared" ref="M197:M260" ca="1" si="103">IF(AND(L196&gt;L_rampe,G197&gt;0),ATAN2(G197,H197),$M$4)</f>
        <v>1.3685579158622063</v>
      </c>
      <c r="N197" s="304">
        <f t="shared" ref="N197:N260" ca="1" si="104">DEGREES(Beta)</f>
        <v>78.412592598124448</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8.0499999999999989</v>
      </c>
      <c r="T197" s="304">
        <f t="shared" ca="1" si="88"/>
        <v>78.970499999999987</v>
      </c>
      <c r="U197" s="311">
        <f t="shared" ca="1" si="89"/>
        <v>0</v>
      </c>
      <c r="V197" s="306">
        <f t="shared" ca="1" si="90"/>
        <v>1.1968038754535266</v>
      </c>
      <c r="W197" s="304">
        <f t="shared" ca="1" si="91"/>
        <v>146.56627301939889</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232.85225391088454</v>
      </c>
      <c r="AG197" s="306">
        <f t="shared" ref="AG197:AG260" ca="1" si="114">IF(AND(L196&lt;L_rampe,Poussee&lt;Poids*SIN(M196)),0,(-W196+Poussee)/m-Poids*SIN(M196)/m)</f>
        <v>-27.871965850837629</v>
      </c>
      <c r="AH197" s="304">
        <f t="shared" ref="AH197:AH260" ca="1" si="115">IF(AND(L196&lt;L_rampe,Poussee&lt;Poids*SIN(M196)), g*SIN(M196), (-W196+Poussee)/m)</f>
        <v>-18.261703910498532</v>
      </c>
    </row>
    <row r="198" spans="1:34" x14ac:dyDescent="0.3">
      <c r="A198" s="347">
        <f t="shared" ca="1" si="93"/>
        <v>0.01</v>
      </c>
      <c r="B198" s="304">
        <f t="shared" ca="1" si="94"/>
        <v>1.9400000000000015</v>
      </c>
      <c r="D198" s="306">
        <f t="shared" ca="1" si="95"/>
        <v>-3.6571038559897708</v>
      </c>
      <c r="E198" s="307">
        <f t="shared" ca="1" si="96"/>
        <v>-27.645921399426513</v>
      </c>
      <c r="F198" s="304">
        <f t="shared" ca="1" si="97"/>
        <v>27.886759916432819</v>
      </c>
      <c r="G198" s="306">
        <f t="shared" ca="1" si="98"/>
        <v>39.839605974915997</v>
      </c>
      <c r="H198" s="307">
        <f t="shared" ca="1" si="99"/>
        <v>194.2021191717665</v>
      </c>
      <c r="I198" s="304">
        <f t="shared" ca="1" si="100"/>
        <v>198.2464559457282</v>
      </c>
      <c r="J198" s="306">
        <f t="shared" ca="1" si="101"/>
        <v>46.29219264606153</v>
      </c>
      <c r="K198" s="307">
        <f t="shared" ca="1" si="102"/>
        <v>234.79565739867218</v>
      </c>
      <c r="L198" s="304">
        <f t="shared" ca="1" si="87"/>
        <v>239.31562388037835</v>
      </c>
      <c r="M198" s="306">
        <f t="shared" ca="1" si="103"/>
        <v>1.3684585212815876</v>
      </c>
      <c r="N198" s="304">
        <f t="shared" ca="1" si="104"/>
        <v>78.40689770814852</v>
      </c>
      <c r="P198" s="310">
        <f t="shared" ca="1" si="105"/>
        <v>23</v>
      </c>
      <c r="Q198" s="304">
        <f t="shared" ca="1" si="106"/>
        <v>0</v>
      </c>
      <c r="R198" s="306">
        <f t="shared" ca="1" si="107"/>
        <v>0</v>
      </c>
      <c r="S198" s="307">
        <f t="shared" ca="1" si="108"/>
        <v>8.0499999999999989</v>
      </c>
      <c r="T198" s="304">
        <f t="shared" ca="1" si="88"/>
        <v>78.970499999999987</v>
      </c>
      <c r="U198" s="311">
        <f t="shared" ca="1" si="89"/>
        <v>0</v>
      </c>
      <c r="V198" s="306">
        <f t="shared" ca="1" si="90"/>
        <v>1.196571278980699</v>
      </c>
      <c r="W198" s="304">
        <f t="shared" ca="1" si="91"/>
        <v>146.1274229547906</v>
      </c>
      <c r="Y198" s="314" t="str">
        <f t="shared" ca="1" si="109"/>
        <v/>
      </c>
      <c r="Z198" s="315" t="str">
        <f t="shared" ca="1" si="110"/>
        <v/>
      </c>
      <c r="AA198" s="316" t="str">
        <f t="shared" ca="1" si="111"/>
        <v/>
      </c>
      <c r="AC198" s="310" t="e">
        <f t="shared" ca="1" si="112"/>
        <v>#N/A</v>
      </c>
      <c r="AD198" s="323" t="e">
        <f t="shared" ca="1" si="113"/>
        <v>#N/A</v>
      </c>
      <c r="AE198" s="324">
        <f t="shared" ca="1" si="92"/>
        <v>234.79565739867218</v>
      </c>
      <c r="AG198" s="306">
        <f t="shared" ca="1" si="114"/>
        <v>-27.81705694060269</v>
      </c>
      <c r="AH198" s="304">
        <f t="shared" ca="1" si="115"/>
        <v>-18.20699043719241</v>
      </c>
    </row>
    <row r="199" spans="1:34" x14ac:dyDescent="0.3">
      <c r="A199" s="347">
        <f t="shared" ca="1" si="93"/>
        <v>0.01</v>
      </c>
      <c r="B199" s="304">
        <f t="shared" ca="1" si="94"/>
        <v>1.9500000000000015</v>
      </c>
      <c r="D199" s="306">
        <f t="shared" ca="1" si="95"/>
        <v>-3.6479211902380038</v>
      </c>
      <c r="E199" s="307">
        <f t="shared" ca="1" si="96"/>
        <v>-27.592154425971493</v>
      </c>
      <c r="F199" s="304">
        <f t="shared" ca="1" si="97"/>
        <v>27.832253140499528</v>
      </c>
      <c r="G199" s="306">
        <f t="shared" ca="1" si="98"/>
        <v>39.803126763013616</v>
      </c>
      <c r="H199" s="307">
        <f t="shared" ca="1" si="99"/>
        <v>193.92619762750678</v>
      </c>
      <c r="I199" s="304">
        <f t="shared" ca="1" si="100"/>
        <v>197.96883347228004</v>
      </c>
      <c r="J199" s="306">
        <f t="shared" ca="1" si="101"/>
        <v>46.690406309751175</v>
      </c>
      <c r="K199" s="307">
        <f t="shared" ca="1" si="102"/>
        <v>236.73629898266853</v>
      </c>
      <c r="L199" s="304">
        <f t="shared" ca="1" si="87"/>
        <v>241.29664170348721</v>
      </c>
      <c r="M199" s="306">
        <f t="shared" ca="1" si="103"/>
        <v>1.3683589390655884</v>
      </c>
      <c r="N199" s="304">
        <f t="shared" ca="1" si="104"/>
        <v>78.401192067457202</v>
      </c>
      <c r="P199" s="310">
        <f t="shared" ca="1" si="105"/>
        <v>23</v>
      </c>
      <c r="Q199" s="304">
        <f t="shared" ca="1" si="106"/>
        <v>0</v>
      </c>
      <c r="R199" s="306">
        <f t="shared" ca="1" si="107"/>
        <v>0</v>
      </c>
      <c r="S199" s="307">
        <f t="shared" ca="1" si="108"/>
        <v>8.0499999999999989</v>
      </c>
      <c r="T199" s="304">
        <f t="shared" ca="1" si="88"/>
        <v>78.970499999999987</v>
      </c>
      <c r="U199" s="311">
        <f t="shared" ca="1" si="89"/>
        <v>0</v>
      </c>
      <c r="V199" s="306">
        <f t="shared" ca="1" si="90"/>
        <v>1.1963390576455406</v>
      </c>
      <c r="W199" s="304">
        <f t="shared" ca="1" si="91"/>
        <v>145.69015867336472</v>
      </c>
      <c r="Y199" s="314" t="str">
        <f t="shared" ca="1" si="109"/>
        <v/>
      </c>
      <c r="Z199" s="315" t="str">
        <f t="shared" ca="1" si="110"/>
        <v/>
      </c>
      <c r="AA199" s="316" t="str">
        <f t="shared" ca="1" si="111"/>
        <v/>
      </c>
      <c r="AC199" s="310" t="e">
        <f t="shared" ca="1" si="112"/>
        <v>#N/A</v>
      </c>
      <c r="AD199" s="323" t="e">
        <f t="shared" ca="1" si="113"/>
        <v>#N/A</v>
      </c>
      <c r="AE199" s="324">
        <f t="shared" ca="1" si="92"/>
        <v>236.73629898266853</v>
      </c>
      <c r="AG199" s="306">
        <f t="shared" ca="1" si="114"/>
        <v>-27.76234550387948</v>
      </c>
      <c r="AH199" s="304">
        <f t="shared" ca="1" si="115"/>
        <v>-18.152474901216227</v>
      </c>
    </row>
    <row r="200" spans="1:34" x14ac:dyDescent="0.3">
      <c r="A200" s="347">
        <f t="shared" ca="1" si="93"/>
        <v>0.01</v>
      </c>
      <c r="B200" s="304">
        <f t="shared" ca="1" si="94"/>
        <v>1.9600000000000015</v>
      </c>
      <c r="D200" s="306">
        <f t="shared" ca="1" si="95"/>
        <v>-3.6387708055721752</v>
      </c>
      <c r="E200" s="307">
        <f t="shared" ca="1" si="96"/>
        <v>-27.538581740927647</v>
      </c>
      <c r="F200" s="304">
        <f t="shared" ca="1" si="97"/>
        <v>27.777943359385663</v>
      </c>
      <c r="G200" s="306">
        <f t="shared" ca="1" si="98"/>
        <v>39.766739054957895</v>
      </c>
      <c r="H200" s="307">
        <f t="shared" ca="1" si="99"/>
        <v>193.65081181009751</v>
      </c>
      <c r="I200" s="304">
        <f t="shared" ca="1" si="100"/>
        <v>197.69175615026268</v>
      </c>
      <c r="J200" s="306">
        <f t="shared" ca="1" si="101"/>
        <v>47.088255638841034</v>
      </c>
      <c r="K200" s="307">
        <f t="shared" ca="1" si="102"/>
        <v>238.67418402985655</v>
      </c>
      <c r="L200" s="304">
        <f t="shared" ca="1" si="87"/>
        <v>243.27488555423611</v>
      </c>
      <c r="M200" s="306">
        <f t="shared" ca="1" si="103"/>
        <v>1.3682591688721086</v>
      </c>
      <c r="N200" s="304">
        <f t="shared" ca="1" si="104"/>
        <v>78.395475656449605</v>
      </c>
      <c r="P200" s="310">
        <f t="shared" ca="1" si="105"/>
        <v>23</v>
      </c>
      <c r="Q200" s="304">
        <f t="shared" ca="1" si="106"/>
        <v>0</v>
      </c>
      <c r="R200" s="306">
        <f t="shared" ca="1" si="107"/>
        <v>0</v>
      </c>
      <c r="S200" s="307">
        <f t="shared" ca="1" si="108"/>
        <v>8.0499999999999989</v>
      </c>
      <c r="T200" s="304">
        <f t="shared" ca="1" si="88"/>
        <v>78.970499999999987</v>
      </c>
      <c r="U200" s="311">
        <f t="shared" ca="1" si="89"/>
        <v>0</v>
      </c>
      <c r="V200" s="306">
        <f t="shared" ca="1" si="90"/>
        <v>1.1961072106030262</v>
      </c>
      <c r="W200" s="304">
        <f t="shared" ca="1" si="91"/>
        <v>145.25447260875796</v>
      </c>
      <c r="Y200" s="314" t="str">
        <f t="shared" ca="1" si="109"/>
        <v/>
      </c>
      <c r="Z200" s="315" t="str">
        <f t="shared" ca="1" si="110"/>
        <v/>
      </c>
      <c r="AA200" s="316" t="str">
        <f t="shared" ca="1" si="111"/>
        <v/>
      </c>
      <c r="AC200" s="310" t="e">
        <f t="shared" ca="1" si="112"/>
        <v>#N/A</v>
      </c>
      <c r="AD200" s="323" t="e">
        <f t="shared" ca="1" si="113"/>
        <v>#N/A</v>
      </c>
      <c r="AE200" s="324">
        <f t="shared" ca="1" si="92"/>
        <v>238.67418402985655</v>
      </c>
      <c r="AG200" s="306">
        <f t="shared" ca="1" si="114"/>
        <v>-27.707830593830252</v>
      </c>
      <c r="AH200" s="304">
        <f t="shared" ca="1" si="115"/>
        <v>-18.098156356939718</v>
      </c>
    </row>
    <row r="201" spans="1:34" x14ac:dyDescent="0.3">
      <c r="A201" s="347">
        <f t="shared" ca="1" si="93"/>
        <v>0.01</v>
      </c>
      <c r="B201" s="304">
        <f t="shared" ca="1" si="94"/>
        <v>1.9700000000000015</v>
      </c>
      <c r="D201" s="306">
        <f t="shared" ca="1" si="95"/>
        <v>-3.6296525467692593</v>
      </c>
      <c r="E201" s="307">
        <f t="shared" ca="1" si="96"/>
        <v>-27.485202417252836</v>
      </c>
      <c r="F201" s="304">
        <f t="shared" ca="1" si="97"/>
        <v>27.723829633144653</v>
      </c>
      <c r="G201" s="306">
        <f t="shared" ca="1" si="98"/>
        <v>39.730442529490205</v>
      </c>
      <c r="H201" s="307">
        <f t="shared" ca="1" si="99"/>
        <v>193.37595978592498</v>
      </c>
      <c r="I201" s="304">
        <f t="shared" ca="1" si="100"/>
        <v>197.41522202382671</v>
      </c>
      <c r="J201" s="306">
        <f t="shared" ca="1" si="101"/>
        <v>47.485741546763272</v>
      </c>
      <c r="K201" s="307">
        <f t="shared" ca="1" si="102"/>
        <v>240.60931788783665</v>
      </c>
      <c r="L201" s="304">
        <f t="shared" ca="1" si="87"/>
        <v>245.25036086557759</v>
      </c>
      <c r="M201" s="306">
        <f t="shared" ca="1" si="103"/>
        <v>1.3681592103580151</v>
      </c>
      <c r="N201" s="304">
        <f t="shared" ca="1" si="104"/>
        <v>78.38974845546565</v>
      </c>
      <c r="P201" s="310">
        <f t="shared" ca="1" si="105"/>
        <v>23</v>
      </c>
      <c r="Q201" s="304">
        <f t="shared" ca="1" si="106"/>
        <v>0</v>
      </c>
      <c r="R201" s="306">
        <f t="shared" ca="1" si="107"/>
        <v>0</v>
      </c>
      <c r="S201" s="307">
        <f t="shared" ca="1" si="108"/>
        <v>8.0499999999999989</v>
      </c>
      <c r="T201" s="304">
        <f t="shared" ca="1" si="88"/>
        <v>78.970499999999987</v>
      </c>
      <c r="U201" s="311">
        <f t="shared" ca="1" si="89"/>
        <v>0</v>
      </c>
      <c r="V201" s="306">
        <f t="shared" ca="1" si="90"/>
        <v>1.1958757370113247</v>
      </c>
      <c r="W201" s="304">
        <f t="shared" ca="1" si="91"/>
        <v>144.82035724023382</v>
      </c>
      <c r="Y201" s="314" t="str">
        <f t="shared" ca="1" si="109"/>
        <v/>
      </c>
      <c r="Z201" s="315" t="str">
        <f t="shared" ca="1" si="110"/>
        <v/>
      </c>
      <c r="AA201" s="316" t="str">
        <f t="shared" ca="1" si="111"/>
        <v/>
      </c>
      <c r="AC201" s="310" t="e">
        <f t="shared" ca="1" si="112"/>
        <v>#N/A</v>
      </c>
      <c r="AD201" s="323" t="e">
        <f t="shared" ca="1" si="113"/>
        <v>#N/A</v>
      </c>
      <c r="AE201" s="324">
        <f t="shared" ca="1" si="92"/>
        <v>240.60931788783665</v>
      </c>
      <c r="AG201" s="306">
        <f t="shared" ca="1" si="114"/>
        <v>-27.653511269322291</v>
      </c>
      <c r="AH201" s="304">
        <f t="shared" ca="1" si="115"/>
        <v>-18.044033864441985</v>
      </c>
    </row>
    <row r="202" spans="1:34" x14ac:dyDescent="0.3">
      <c r="A202" s="347">
        <f t="shared" ca="1" si="93"/>
        <v>0.01</v>
      </c>
      <c r="B202" s="304">
        <f t="shared" ca="1" si="94"/>
        <v>1.9800000000000015</v>
      </c>
      <c r="D202" s="306">
        <f t="shared" ca="1" si="95"/>
        <v>-3.6205662595411798</v>
      </c>
      <c r="E202" s="307">
        <f t="shared" ca="1" si="96"/>
        <v>-27.432015533495139</v>
      </c>
      <c r="F202" s="304">
        <f t="shared" ca="1" si="97"/>
        <v>27.669911027497839</v>
      </c>
      <c r="G202" s="306">
        <f t="shared" ca="1" si="98"/>
        <v>39.694236866894791</v>
      </c>
      <c r="H202" s="307">
        <f t="shared" ca="1" si="99"/>
        <v>193.10163963059003</v>
      </c>
      <c r="I202" s="304">
        <f t="shared" ca="1" si="100"/>
        <v>197.13922914647762</v>
      </c>
      <c r="J202" s="306">
        <f t="shared" ca="1" si="101"/>
        <v>47.882864943745197</v>
      </c>
      <c r="K202" s="307">
        <f t="shared" ca="1" si="102"/>
        <v>242.54170588491922</v>
      </c>
      <c r="L202" s="304">
        <f t="shared" ca="1" si="87"/>
        <v>247.22307305101521</v>
      </c>
      <c r="M202" s="306">
        <f t="shared" ca="1" si="103"/>
        <v>1.3680590631791363</v>
      </c>
      <c r="N202" s="304">
        <f t="shared" ca="1" si="104"/>
        <v>78.384010444785758</v>
      </c>
      <c r="P202" s="310">
        <f t="shared" ca="1" si="105"/>
        <v>23</v>
      </c>
      <c r="Q202" s="304">
        <f t="shared" ca="1" si="106"/>
        <v>0</v>
      </c>
      <c r="R202" s="306">
        <f t="shared" ca="1" si="107"/>
        <v>0</v>
      </c>
      <c r="S202" s="307">
        <f t="shared" ca="1" si="108"/>
        <v>8.0499999999999989</v>
      </c>
      <c r="T202" s="304">
        <f t="shared" ca="1" si="88"/>
        <v>78.970499999999987</v>
      </c>
      <c r="U202" s="311">
        <f t="shared" ca="1" si="89"/>
        <v>0</v>
      </c>
      <c r="V202" s="306">
        <f t="shared" ca="1" si="90"/>
        <v>1.1956446360317836</v>
      </c>
      <c r="W202" s="304">
        <f t="shared" ca="1" si="91"/>
        <v>144.38780509235173</v>
      </c>
      <c r="Y202" s="314" t="str">
        <f t="shared" ca="1" si="109"/>
        <v/>
      </c>
      <c r="Z202" s="315" t="str">
        <f t="shared" ca="1" si="110"/>
        <v/>
      </c>
      <c r="AA202" s="316" t="str">
        <f t="shared" ca="1" si="111"/>
        <v/>
      </c>
      <c r="AC202" s="310" t="e">
        <f t="shared" ca="1" si="112"/>
        <v>#N/A</v>
      </c>
      <c r="AD202" s="323" t="e">
        <f t="shared" ca="1" si="113"/>
        <v>#N/A</v>
      </c>
      <c r="AE202" s="324">
        <f t="shared" ca="1" si="92"/>
        <v>242.54170588491922</v>
      </c>
      <c r="AG202" s="306">
        <f t="shared" ca="1" si="114"/>
        <v>-27.599386594886461</v>
      </c>
      <c r="AH202" s="304">
        <f t="shared" ca="1" si="115"/>
        <v>-17.99010648947004</v>
      </c>
    </row>
    <row r="203" spans="1:34" x14ac:dyDescent="0.3">
      <c r="A203" s="347">
        <f t="shared" ca="1" si="93"/>
        <v>0.01</v>
      </c>
      <c r="B203" s="304">
        <f t="shared" ca="1" si="94"/>
        <v>1.9900000000000015</v>
      </c>
      <c r="D203" s="306">
        <f t="shared" ca="1" si="95"/>
        <v>-3.6115117905280654</v>
      </c>
      <c r="E203" s="307">
        <f t="shared" ca="1" si="96"/>
        <v>-27.379020173752309</v>
      </c>
      <c r="F203" s="304">
        <f t="shared" ca="1" si="97"/>
        <v>27.616186613793353</v>
      </c>
      <c r="G203" s="306">
        <f t="shared" ca="1" si="98"/>
        <v>39.658121748989508</v>
      </c>
      <c r="H203" s="307">
        <f t="shared" ca="1" si="99"/>
        <v>192.82784942885252</v>
      </c>
      <c r="I203" s="304">
        <f t="shared" ca="1" si="100"/>
        <v>196.86377558101921</v>
      </c>
      <c r="J203" s="306">
        <f t="shared" ca="1" si="101"/>
        <v>48.279626736824618</v>
      </c>
      <c r="K203" s="307">
        <f t="shared" ca="1" si="102"/>
        <v>244.47135333021643</v>
      </c>
      <c r="L203" s="304">
        <f t="shared" ca="1" si="87"/>
        <v>249.19302750469291</v>
      </c>
      <c r="M203" s="306">
        <f t="shared" ca="1" si="103"/>
        <v>1.3679587269902611</v>
      </c>
      <c r="N203" s="304">
        <f t="shared" ca="1" si="104"/>
        <v>78.378261604630779</v>
      </c>
      <c r="P203" s="310">
        <f t="shared" ca="1" si="105"/>
        <v>23</v>
      </c>
      <c r="Q203" s="304">
        <f t="shared" ca="1" si="106"/>
        <v>0</v>
      </c>
      <c r="R203" s="306">
        <f t="shared" ca="1" si="107"/>
        <v>0</v>
      </c>
      <c r="S203" s="307">
        <f t="shared" ca="1" si="108"/>
        <v>8.0499999999999989</v>
      </c>
      <c r="T203" s="304">
        <f t="shared" ca="1" si="88"/>
        <v>78.970499999999987</v>
      </c>
      <c r="U203" s="311">
        <f t="shared" ca="1" si="89"/>
        <v>0</v>
      </c>
      <c r="V203" s="306">
        <f t="shared" ca="1" si="90"/>
        <v>1.1954139068289131</v>
      </c>
      <c r="W203" s="304">
        <f t="shared" ca="1" si="91"/>
        <v>143.95680873463874</v>
      </c>
      <c r="Y203" s="314" t="str">
        <f t="shared" ca="1" si="109"/>
        <v/>
      </c>
      <c r="Z203" s="315" t="str">
        <f t="shared" ca="1" si="110"/>
        <v/>
      </c>
      <c r="AA203" s="316" t="str">
        <f t="shared" ca="1" si="111"/>
        <v/>
      </c>
      <c r="AC203" s="310" t="e">
        <f t="shared" ca="1" si="112"/>
        <v>#N/A</v>
      </c>
      <c r="AD203" s="323" t="e">
        <f t="shared" ca="1" si="113"/>
        <v>#N/A</v>
      </c>
      <c r="AE203" s="324">
        <f t="shared" ca="1" si="92"/>
        <v>244.47135333021643</v>
      </c>
      <c r="AG203" s="306">
        <f t="shared" ca="1" si="114"/>
        <v>-27.545455640676089</v>
      </c>
      <c r="AH203" s="304">
        <f t="shared" ca="1" si="115"/>
        <v>-17.936373303397733</v>
      </c>
    </row>
    <row r="204" spans="1:34" x14ac:dyDescent="0.3">
      <c r="A204" s="347">
        <f t="shared" ca="1" si="93"/>
        <v>0.01</v>
      </c>
      <c r="B204" s="304">
        <f t="shared" ca="1" si="94"/>
        <v>2.0000000000000013</v>
      </c>
      <c r="D204" s="306">
        <f t="shared" ca="1" si="95"/>
        <v>-3.6024889872914749</v>
      </c>
      <c r="E204" s="307">
        <f t="shared" ca="1" si="96"/>
        <v>-27.326215427631546</v>
      </c>
      <c r="F204" s="304">
        <f t="shared" ca="1" si="97"/>
        <v>27.562655468965335</v>
      </c>
      <c r="G204" s="306">
        <f t="shared" ca="1" si="98"/>
        <v>39.622096859116596</v>
      </c>
      <c r="H204" s="307">
        <f t="shared" ca="1" si="99"/>
        <v>192.55458727457619</v>
      </c>
      <c r="I204" s="304">
        <f t="shared" ca="1" si="100"/>
        <v>196.58885939949801</v>
      </c>
      <c r="J204" s="306">
        <f t="shared" ca="1" si="101"/>
        <v>48.676027829865149</v>
      </c>
      <c r="K204" s="307">
        <f t="shared" ca="1" si="102"/>
        <v>246.39826551373358</v>
      </c>
      <c r="L204" s="304">
        <f t="shared" ca="1" si="87"/>
        <v>251.16022960148399</v>
      </c>
      <c r="M204" s="306">
        <f t="shared" ca="1" si="103"/>
        <v>1.3678582014451337</v>
      </c>
      <c r="N204" s="304">
        <f t="shared" ca="1" si="104"/>
        <v>78.37250191516172</v>
      </c>
      <c r="P204" s="310">
        <f t="shared" ca="1" si="105"/>
        <v>23</v>
      </c>
      <c r="Q204" s="304">
        <f t="shared" ca="1" si="106"/>
        <v>0</v>
      </c>
      <c r="R204" s="306">
        <f t="shared" ca="1" si="107"/>
        <v>0</v>
      </c>
      <c r="S204" s="307">
        <f t="shared" ca="1" si="108"/>
        <v>8.0499999999999989</v>
      </c>
      <c r="T204" s="304">
        <f t="shared" ca="1" si="88"/>
        <v>78.970499999999987</v>
      </c>
      <c r="U204" s="311">
        <f t="shared" ca="1" si="89"/>
        <v>0</v>
      </c>
      <c r="V204" s="306">
        <f t="shared" ca="1" si="90"/>
        <v>1.1951835485703695</v>
      </c>
      <c r="W204" s="304">
        <f t="shared" ca="1" si="91"/>
        <v>143.52736078126392</v>
      </c>
      <c r="Y204" s="314" t="str">
        <f t="shared" ca="1" si="109"/>
        <v/>
      </c>
      <c r="Z204" s="315" t="str">
        <f t="shared" ca="1" si="110"/>
        <v/>
      </c>
      <c r="AA204" s="316" t="str">
        <f t="shared" ca="1" si="111"/>
        <v/>
      </c>
      <c r="AC204" s="310">
        <f t="shared" ca="1" si="112"/>
        <v>2.0000000000000013</v>
      </c>
      <c r="AD204" s="323">
        <f t="shared" ca="1" si="113"/>
        <v>48.676027829865149</v>
      </c>
      <c r="AE204" s="324">
        <f t="shared" ca="1" si="92"/>
        <v>246.39826551373358</v>
      </c>
      <c r="AG204" s="306">
        <f t="shared" ca="1" si="114"/>
        <v>-27.491717482426136</v>
      </c>
      <c r="AH204" s="304">
        <f t="shared" ca="1" si="115"/>
        <v>-17.882833383184938</v>
      </c>
    </row>
    <row r="205" spans="1:34" x14ac:dyDescent="0.3">
      <c r="A205" s="347">
        <f t="shared" ca="1" si="93"/>
        <v>0.1</v>
      </c>
      <c r="B205" s="304">
        <f t="shared" ca="1" si="94"/>
        <v>2.1000000000000014</v>
      </c>
      <c r="D205" s="306">
        <f t="shared" ca="1" si="95"/>
        <v>-3.5934976983077651</v>
      </c>
      <c r="E205" s="307">
        <f t="shared" ca="1" si="96"/>
        <v>-27.273600390209602</v>
      </c>
      <c r="F205" s="304">
        <f t="shared" ca="1" si="97"/>
        <v>27.509316675493498</v>
      </c>
      <c r="G205" s="306">
        <f t="shared" ca="1" si="98"/>
        <v>39.262747089285817</v>
      </c>
      <c r="H205" s="307">
        <f t="shared" ca="1" si="99"/>
        <v>189.82722723555523</v>
      </c>
      <c r="I205" s="304">
        <f t="shared" ca="1" si="100"/>
        <v>193.84514311412693</v>
      </c>
      <c r="J205" s="306">
        <f t="shared" ca="1" si="101"/>
        <v>52.620270027285272</v>
      </c>
      <c r="K205" s="307">
        <f t="shared" ca="1" si="102"/>
        <v>265.51735623924014</v>
      </c>
      <c r="L205" s="304">
        <f t="shared" ca="1" si="87"/>
        <v>270.68128727715919</v>
      </c>
      <c r="M205" s="306">
        <f t="shared" ca="1" si="103"/>
        <v>1.3668382189674839</v>
      </c>
      <c r="N205" s="304">
        <f t="shared" ca="1" si="104"/>
        <v>78.314061224015092</v>
      </c>
      <c r="P205" s="310">
        <f t="shared" ca="1" si="105"/>
        <v>23</v>
      </c>
      <c r="Q205" s="304">
        <f t="shared" ca="1" si="106"/>
        <v>0</v>
      </c>
      <c r="R205" s="306">
        <f t="shared" ca="1" si="107"/>
        <v>0</v>
      </c>
      <c r="S205" s="307">
        <f t="shared" ca="1" si="108"/>
        <v>8.0499999999999989</v>
      </c>
      <c r="T205" s="304">
        <f t="shared" ca="1" si="88"/>
        <v>78.970499999999987</v>
      </c>
      <c r="U205" s="311">
        <f t="shared" ca="1" si="89"/>
        <v>0</v>
      </c>
      <c r="V205" s="306">
        <f t="shared" ca="1" si="90"/>
        <v>1.1929002755591698</v>
      </c>
      <c r="W205" s="304">
        <f t="shared" ca="1" si="91"/>
        <v>139.28241025222016</v>
      </c>
      <c r="Y205" s="314" t="str">
        <f t="shared" ca="1" si="109"/>
        <v/>
      </c>
      <c r="Z205" s="315" t="str">
        <f t="shared" ca="1" si="110"/>
        <v/>
      </c>
      <c r="AA205" s="316" t="str">
        <f t="shared" ca="1" si="111"/>
        <v/>
      </c>
      <c r="AC205" s="310" t="e">
        <f t="shared" ca="1" si="112"/>
        <v>#N/A</v>
      </c>
      <c r="AD205" s="323" t="e">
        <f t="shared" ca="1" si="113"/>
        <v>#N/A</v>
      </c>
      <c r="AE205" s="324">
        <f t="shared" ca="1" si="92"/>
        <v>265.51735623924014</v>
      </c>
      <c r="AG205" s="306">
        <f t="shared" ca="1" si="114"/>
        <v>-27.438171201412786</v>
      </c>
      <c r="AH205" s="304">
        <f t="shared" ca="1" si="115"/>
        <v>-17.829485811337136</v>
      </c>
    </row>
    <row r="206" spans="1:34" x14ac:dyDescent="0.3">
      <c r="A206" s="347">
        <f t="shared" ca="1" si="93"/>
        <v>0.1</v>
      </c>
      <c r="B206" s="304">
        <f t="shared" ca="1" si="94"/>
        <v>2.2000000000000015</v>
      </c>
      <c r="D206" s="306">
        <f t="shared" ca="1" si="95"/>
        <v>-3.5045007050317785</v>
      </c>
      <c r="E206" s="307">
        <f t="shared" ca="1" si="96"/>
        <v>-26.7535330179117</v>
      </c>
      <c r="F206" s="304">
        <f t="shared" ca="1" si="97"/>
        <v>26.982087653331419</v>
      </c>
      <c r="G206" s="306">
        <f t="shared" ca="1" si="98"/>
        <v>38.912297018782638</v>
      </c>
      <c r="H206" s="307">
        <f t="shared" ca="1" si="99"/>
        <v>187.15187393376405</v>
      </c>
      <c r="I206" s="304">
        <f t="shared" ca="1" si="100"/>
        <v>191.15436373830829</v>
      </c>
      <c r="J206" s="306">
        <f t="shared" ca="1" si="101"/>
        <v>56.529022232688696</v>
      </c>
      <c r="K206" s="307">
        <f t="shared" ca="1" si="102"/>
        <v>284.36631129770609</v>
      </c>
      <c r="L206" s="304">
        <f t="shared" ca="1" si="87"/>
        <v>289.93055954081092</v>
      </c>
      <c r="M206" s="306">
        <f t="shared" ca="1" si="103"/>
        <v>1.3657987521563668</v>
      </c>
      <c r="N206" s="304">
        <f t="shared" ca="1" si="104"/>
        <v>78.254504162794163</v>
      </c>
      <c r="P206" s="310">
        <f t="shared" ca="1" si="105"/>
        <v>23</v>
      </c>
      <c r="Q206" s="304">
        <f t="shared" ca="1" si="106"/>
        <v>0</v>
      </c>
      <c r="R206" s="306">
        <f t="shared" ca="1" si="107"/>
        <v>0</v>
      </c>
      <c r="S206" s="307">
        <f t="shared" ca="1" si="108"/>
        <v>8.0499999999999989</v>
      </c>
      <c r="T206" s="304">
        <f t="shared" ca="1" si="88"/>
        <v>78.970499999999987</v>
      </c>
      <c r="U206" s="311">
        <f t="shared" ca="1" si="89"/>
        <v>0</v>
      </c>
      <c r="V206" s="306">
        <f t="shared" ca="1" si="90"/>
        <v>1.1906534765746495</v>
      </c>
      <c r="W206" s="304">
        <f t="shared" ca="1" si="91"/>
        <v>135.18736540539183</v>
      </c>
      <c r="Y206" s="314" t="str">
        <f t="shared" ca="1" si="109"/>
        <v/>
      </c>
      <c r="Z206" s="315" t="str">
        <f t="shared" ca="1" si="110"/>
        <v/>
      </c>
      <c r="AA206" s="316" t="str">
        <f t="shared" ca="1" si="111"/>
        <v/>
      </c>
      <c r="AC206" s="310" t="e">
        <f t="shared" ca="1" si="112"/>
        <v>#N/A</v>
      </c>
      <c r="AD206" s="323" t="e">
        <f t="shared" ca="1" si="113"/>
        <v>#N/A</v>
      </c>
      <c r="AE206" s="324">
        <f t="shared" ca="1" si="92"/>
        <v>284.36631129770609</v>
      </c>
      <c r="AG206" s="306">
        <f t="shared" ca="1" si="114"/>
        <v>-26.90882646118154</v>
      </c>
      <c r="AH206" s="304">
        <f t="shared" ca="1" si="115"/>
        <v>-17.302162764250955</v>
      </c>
    </row>
    <row r="207" spans="1:34" x14ac:dyDescent="0.3">
      <c r="A207" s="347">
        <f t="shared" ca="1" si="93"/>
        <v>0.1</v>
      </c>
      <c r="B207" s="304">
        <f t="shared" ca="1" si="94"/>
        <v>2.3000000000000016</v>
      </c>
      <c r="D207" s="306">
        <f t="shared" ca="1" si="95"/>
        <v>-3.4185573935060964</v>
      </c>
      <c r="E207" s="307">
        <f t="shared" ca="1" si="96"/>
        <v>-26.251831281149222</v>
      </c>
      <c r="F207" s="304">
        <f t="shared" ca="1" si="97"/>
        <v>26.473480697985671</v>
      </c>
      <c r="G207" s="306">
        <f t="shared" ca="1" si="98"/>
        <v>38.570441279432032</v>
      </c>
      <c r="H207" s="307">
        <f t="shared" ca="1" si="99"/>
        <v>184.52669080564914</v>
      </c>
      <c r="I207" s="304">
        <f t="shared" ca="1" si="100"/>
        <v>188.51466404546292</v>
      </c>
      <c r="J207" s="306">
        <f t="shared" ca="1" si="101"/>
        <v>60.403159147599432</v>
      </c>
      <c r="K207" s="307">
        <f t="shared" ca="1" si="102"/>
        <v>302.95023953467677</v>
      </c>
      <c r="L207" s="304">
        <f t="shared" ca="1" si="87"/>
        <v>308.91323906418819</v>
      </c>
      <c r="M207" s="306">
        <f t="shared" ca="1" si="103"/>
        <v>1.364739433547038</v>
      </c>
      <c r="N207" s="304">
        <f t="shared" ca="1" si="104"/>
        <v>78.193809677319948</v>
      </c>
      <c r="P207" s="310">
        <f t="shared" ca="1" si="105"/>
        <v>23</v>
      </c>
      <c r="Q207" s="304">
        <f t="shared" ca="1" si="106"/>
        <v>0</v>
      </c>
      <c r="R207" s="306">
        <f t="shared" ca="1" si="107"/>
        <v>0</v>
      </c>
      <c r="S207" s="307">
        <f t="shared" ca="1" si="108"/>
        <v>8.0499999999999989</v>
      </c>
      <c r="T207" s="304">
        <f t="shared" ca="1" si="88"/>
        <v>78.970499999999987</v>
      </c>
      <c r="U207" s="311">
        <f t="shared" ca="1" si="89"/>
        <v>0</v>
      </c>
      <c r="V207" s="306">
        <f t="shared" ca="1" si="90"/>
        <v>1.1884423530519885</v>
      </c>
      <c r="W207" s="304">
        <f t="shared" ca="1" si="91"/>
        <v>131.23530474026487</v>
      </c>
      <c r="Y207" s="314" t="str">
        <f t="shared" ca="1" si="109"/>
        <v/>
      </c>
      <c r="Z207" s="315" t="str">
        <f t="shared" ca="1" si="110"/>
        <v/>
      </c>
      <c r="AA207" s="316" t="str">
        <f t="shared" ca="1" si="111"/>
        <v/>
      </c>
      <c r="AC207" s="310" t="e">
        <f t="shared" ca="1" si="112"/>
        <v>#N/A</v>
      </c>
      <c r="AD207" s="323" t="e">
        <f t="shared" ca="1" si="113"/>
        <v>#N/A</v>
      </c>
      <c r="AE207" s="324">
        <f t="shared" ca="1" si="92"/>
        <v>302.95023953467677</v>
      </c>
      <c r="AG207" s="306">
        <f t="shared" ca="1" si="114"/>
        <v>-26.398054642582473</v>
      </c>
      <c r="AH207" s="304">
        <f t="shared" ca="1" si="115"/>
        <v>-16.793461541042465</v>
      </c>
    </row>
    <row r="208" spans="1:34" x14ac:dyDescent="0.3">
      <c r="A208" s="347">
        <f t="shared" ca="1" si="93"/>
        <v>0.1</v>
      </c>
      <c r="B208" s="304">
        <f t="shared" ca="1" si="94"/>
        <v>2.4000000000000017</v>
      </c>
      <c r="D208" s="306">
        <f t="shared" ca="1" si="95"/>
        <v>-3.3355255589372277</v>
      </c>
      <c r="E208" s="307">
        <f t="shared" ca="1" si="96"/>
        <v>-25.767647179332791</v>
      </c>
      <c r="F208" s="304">
        <f t="shared" ca="1" si="97"/>
        <v>25.982635969294968</v>
      </c>
      <c r="G208" s="306">
        <f t="shared" ca="1" si="98"/>
        <v>38.236888723538307</v>
      </c>
      <c r="H208" s="307">
        <f t="shared" ca="1" si="99"/>
        <v>181.94992608771585</v>
      </c>
      <c r="I208" s="304">
        <f t="shared" ca="1" si="100"/>
        <v>185.92427292470853</v>
      </c>
      <c r="J208" s="306">
        <f t="shared" ca="1" si="101"/>
        <v>64.243525647747944</v>
      </c>
      <c r="K208" s="307">
        <f t="shared" ca="1" si="102"/>
        <v>321.27407037934501</v>
      </c>
      <c r="L208" s="304">
        <f t="shared" ca="1" si="87"/>
        <v>327.63433715922571</v>
      </c>
      <c r="M208" s="306">
        <f t="shared" ca="1" si="103"/>
        <v>1.3636598842745307</v>
      </c>
      <c r="N208" s="304">
        <f t="shared" ca="1" si="104"/>
        <v>78.131956060228859</v>
      </c>
      <c r="P208" s="310">
        <f t="shared" ca="1" si="105"/>
        <v>23</v>
      </c>
      <c r="Q208" s="304">
        <f t="shared" ca="1" si="106"/>
        <v>0</v>
      </c>
      <c r="R208" s="306">
        <f t="shared" ca="1" si="107"/>
        <v>0</v>
      </c>
      <c r="S208" s="307">
        <f t="shared" ca="1" si="108"/>
        <v>8.0499999999999989</v>
      </c>
      <c r="T208" s="304">
        <f t="shared" ca="1" si="88"/>
        <v>78.970499999999987</v>
      </c>
      <c r="U208" s="311">
        <f t="shared" ca="1" si="89"/>
        <v>0</v>
      </c>
      <c r="V208" s="306">
        <f t="shared" ca="1" si="90"/>
        <v>1.1862661356909348</v>
      </c>
      <c r="W208" s="304">
        <f t="shared" ca="1" si="91"/>
        <v>127.41970727101611</v>
      </c>
      <c r="Y208" s="314" t="str">
        <f t="shared" ca="1" si="109"/>
        <v/>
      </c>
      <c r="Z208" s="315" t="str">
        <f t="shared" ca="1" si="110"/>
        <v/>
      </c>
      <c r="AA208" s="316" t="str">
        <f t="shared" ca="1" si="111"/>
        <v/>
      </c>
      <c r="AC208" s="310" t="e">
        <f t="shared" ca="1" si="112"/>
        <v>#N/A</v>
      </c>
      <c r="AD208" s="323" t="e">
        <f t="shared" ca="1" si="113"/>
        <v>#N/A</v>
      </c>
      <c r="AE208" s="324">
        <f t="shared" ca="1" si="92"/>
        <v>321.27407037934501</v>
      </c>
      <c r="AG208" s="306">
        <f t="shared" ca="1" si="114"/>
        <v>-25.904994612934274</v>
      </c>
      <c r="AH208" s="304">
        <f t="shared" ca="1" si="115"/>
        <v>-16.302522327983215</v>
      </c>
    </row>
    <row r="209" spans="1:34" x14ac:dyDescent="0.3">
      <c r="A209" s="347">
        <f t="shared" ca="1" si="93"/>
        <v>0.1</v>
      </c>
      <c r="B209" s="304">
        <f t="shared" ca="1" si="94"/>
        <v>2.5000000000000018</v>
      </c>
      <c r="D209" s="306">
        <f t="shared" ca="1" si="95"/>
        <v>-3.2552712155637278</v>
      </c>
      <c r="E209" s="307">
        <f t="shared" ca="1" si="96"/>
        <v>-25.300181780995082</v>
      </c>
      <c r="F209" s="304">
        <f t="shared" ca="1" si="97"/>
        <v>25.508743380226971</v>
      </c>
      <c r="G209" s="306">
        <f t="shared" ca="1" si="98"/>
        <v>37.911361601981937</v>
      </c>
      <c r="H209" s="307">
        <f t="shared" ca="1" si="99"/>
        <v>179.41990790961634</v>
      </c>
      <c r="I209" s="304">
        <f t="shared" ca="1" si="100"/>
        <v>183.38150041051423</v>
      </c>
      <c r="J209" s="306">
        <f t="shared" ca="1" si="101"/>
        <v>68.050938164023961</v>
      </c>
      <c r="K209" s="307">
        <f t="shared" ca="1" si="102"/>
        <v>339.34256207921163</v>
      </c>
      <c r="L209" s="304">
        <f t="shared" ca="1" si="87"/>
        <v>346.0986920279928</v>
      </c>
      <c r="M209" s="306">
        <f t="shared" ca="1" si="103"/>
        <v>1.3625597136909378</v>
      </c>
      <c r="N209" s="304">
        <f t="shared" ca="1" si="104"/>
        <v>78.068920929044552</v>
      </c>
      <c r="P209" s="310">
        <f t="shared" ca="1" si="105"/>
        <v>23</v>
      </c>
      <c r="Q209" s="304">
        <f t="shared" ca="1" si="106"/>
        <v>0</v>
      </c>
      <c r="R209" s="306">
        <f t="shared" ca="1" si="107"/>
        <v>0</v>
      </c>
      <c r="S209" s="307">
        <f t="shared" ca="1" si="108"/>
        <v>8.0499999999999989</v>
      </c>
      <c r="T209" s="304">
        <f t="shared" ca="1" si="88"/>
        <v>78.970499999999987</v>
      </c>
      <c r="U209" s="311">
        <f t="shared" ca="1" si="89"/>
        <v>0</v>
      </c>
      <c r="V209" s="306">
        <f t="shared" ca="1" si="90"/>
        <v>1.1841240830643114</v>
      </c>
      <c r="W209" s="304">
        <f t="shared" ca="1" si="91"/>
        <v>123.73442490803389</v>
      </c>
      <c r="Y209" s="314" t="str">
        <f t="shared" ca="1" si="109"/>
        <v/>
      </c>
      <c r="Z209" s="315" t="str">
        <f t="shared" ca="1" si="110"/>
        <v/>
      </c>
      <c r="AA209" s="316" t="str">
        <f t="shared" ca="1" si="111"/>
        <v/>
      </c>
      <c r="AC209" s="310" t="e">
        <f t="shared" ca="1" si="112"/>
        <v>#N/A</v>
      </c>
      <c r="AD209" s="323" t="e">
        <f t="shared" ca="1" si="113"/>
        <v>#N/A</v>
      </c>
      <c r="AE209" s="324">
        <f t="shared" ca="1" si="92"/>
        <v>339.34256207921163</v>
      </c>
      <c r="AG209" s="306">
        <f t="shared" ca="1" si="114"/>
        <v>-25.428834944035799</v>
      </c>
      <c r="AH209" s="304">
        <f t="shared" ca="1" si="115"/>
        <v>-15.8285350647225</v>
      </c>
    </row>
    <row r="210" spans="1:34" x14ac:dyDescent="0.3">
      <c r="A210" s="347">
        <f t="shared" ca="1" si="93"/>
        <v>0.1</v>
      </c>
      <c r="B210" s="304">
        <f t="shared" ca="1" si="94"/>
        <v>2.6000000000000019</v>
      </c>
      <c r="D210" s="306">
        <f t="shared" ca="1" si="95"/>
        <v>-3.1776680297026019</v>
      </c>
      <c r="E210" s="307">
        <f t="shared" ca="1" si="96"/>
        <v>-24.848681840083714</v>
      </c>
      <c r="F210" s="304">
        <f t="shared" ca="1" si="97"/>
        <v>25.051039166004674</v>
      </c>
      <c r="G210" s="306">
        <f t="shared" ca="1" si="98"/>
        <v>37.593594799011676</v>
      </c>
      <c r="H210" s="307">
        <f t="shared" ca="1" si="99"/>
        <v>176.93503972560796</v>
      </c>
      <c r="I210" s="304">
        <f t="shared" ca="1" si="100"/>
        <v>180.88473305565273</v>
      </c>
      <c r="J210" s="306">
        <f t="shared" ca="1" si="101"/>
        <v>71.826185984073646</v>
      </c>
      <c r="K210" s="307">
        <f t="shared" ca="1" si="102"/>
        <v>357.16030946097283</v>
      </c>
      <c r="L210" s="304">
        <f t="shared" ca="1" si="87"/>
        <v>364.31097656710347</v>
      </c>
      <c r="M210" s="306">
        <f t="shared" ca="1" si="103"/>
        <v>1.3614385189657983</v>
      </c>
      <c r="N210" s="304">
        <f t="shared" ca="1" si="104"/>
        <v>78.00468120328172</v>
      </c>
      <c r="P210" s="310">
        <f t="shared" ca="1" si="105"/>
        <v>23</v>
      </c>
      <c r="Q210" s="304">
        <f t="shared" ca="1" si="106"/>
        <v>0</v>
      </c>
      <c r="R210" s="306">
        <f t="shared" ca="1" si="107"/>
        <v>0</v>
      </c>
      <c r="S210" s="307">
        <f t="shared" ca="1" si="108"/>
        <v>8.0499999999999989</v>
      </c>
      <c r="T210" s="304">
        <f t="shared" ca="1" si="88"/>
        <v>78.970499999999987</v>
      </c>
      <c r="U210" s="311">
        <f t="shared" ca="1" si="89"/>
        <v>0</v>
      </c>
      <c r="V210" s="306">
        <f t="shared" ca="1" si="90"/>
        <v>1.1820154803087781</v>
      </c>
      <c r="W210" s="304">
        <f t="shared" ca="1" si="91"/>
        <v>120.17365704604703</v>
      </c>
      <c r="Y210" s="314" t="str">
        <f t="shared" ca="1" si="109"/>
        <v/>
      </c>
      <c r="Z210" s="315" t="str">
        <f t="shared" ca="1" si="110"/>
        <v/>
      </c>
      <c r="AA210" s="316" t="str">
        <f t="shared" ca="1" si="111"/>
        <v/>
      </c>
      <c r="AC210" s="310" t="e">
        <f t="shared" ca="1" si="112"/>
        <v>#N/A</v>
      </c>
      <c r="AD210" s="323" t="e">
        <f t="shared" ca="1" si="113"/>
        <v>#N/A</v>
      </c>
      <c r="AE210" s="324">
        <f t="shared" ca="1" si="92"/>
        <v>357.16030946097283</v>
      </c>
      <c r="AG210" s="306">
        <f t="shared" ca="1" si="114"/>
        <v>-24.968810479237195</v>
      </c>
      <c r="AH210" s="304">
        <f t="shared" ca="1" si="115"/>
        <v>-15.370736013420361</v>
      </c>
    </row>
    <row r="211" spans="1:34" x14ac:dyDescent="0.3">
      <c r="A211" s="347">
        <f t="shared" ca="1" si="93"/>
        <v>0.1</v>
      </c>
      <c r="B211" s="304">
        <f t="shared" ca="1" si="94"/>
        <v>2.700000000000002</v>
      </c>
      <c r="D211" s="306">
        <f t="shared" ca="1" si="95"/>
        <v>-3.1025967980966853</v>
      </c>
      <c r="E211" s="307">
        <f t="shared" ca="1" si="96"/>
        <v>-24.412436682597139</v>
      </c>
      <c r="F211" s="304">
        <f t="shared" ca="1" si="97"/>
        <v>24.60880272734483</v>
      </c>
      <c r="G211" s="306">
        <f t="shared" ca="1" si="98"/>
        <v>37.283335119202007</v>
      </c>
      <c r="H211" s="307">
        <f t="shared" ca="1" si="99"/>
        <v>174.49379605734825</v>
      </c>
      <c r="I211" s="304">
        <f t="shared" ca="1" si="100"/>
        <v>178.43242962005019</v>
      </c>
      <c r="J211" s="306">
        <f t="shared" ca="1" si="101"/>
        <v>75.570032479984334</v>
      </c>
      <c r="K211" s="307">
        <f t="shared" ca="1" si="102"/>
        <v>374.73175125012062</v>
      </c>
      <c r="L211" s="304">
        <f t="shared" ca="1" si="87"/>
        <v>382.27570574653072</v>
      </c>
      <c r="M211" s="306">
        <f t="shared" ca="1" si="103"/>
        <v>1.3602958846687825</v>
      </c>
      <c r="N211" s="304">
        <f t="shared" ca="1" si="104"/>
        <v>77.939213080535822</v>
      </c>
      <c r="P211" s="310">
        <f t="shared" ca="1" si="105"/>
        <v>23</v>
      </c>
      <c r="Q211" s="304">
        <f t="shared" ca="1" si="106"/>
        <v>0</v>
      </c>
      <c r="R211" s="306">
        <f t="shared" ca="1" si="107"/>
        <v>0</v>
      </c>
      <c r="S211" s="307">
        <f t="shared" ca="1" si="108"/>
        <v>8.0499999999999989</v>
      </c>
      <c r="T211" s="304">
        <f t="shared" ca="1" si="88"/>
        <v>78.970499999999987</v>
      </c>
      <c r="U211" s="311">
        <f t="shared" ca="1" si="89"/>
        <v>0</v>
      </c>
      <c r="V211" s="306">
        <f t="shared" ca="1" si="90"/>
        <v>1.1799396378920934</v>
      </c>
      <c r="W211" s="304">
        <f t="shared" ca="1" si="91"/>
        <v>116.73192715902164</v>
      </c>
      <c r="Y211" s="314" t="str">
        <f t="shared" ca="1" si="109"/>
        <v/>
      </c>
      <c r="Z211" s="315" t="str">
        <f t="shared" ca="1" si="110"/>
        <v/>
      </c>
      <c r="AA211" s="316" t="str">
        <f t="shared" ca="1" si="111"/>
        <v/>
      </c>
      <c r="AC211" s="310" t="e">
        <f t="shared" ca="1" si="112"/>
        <v>#N/A</v>
      </c>
      <c r="AD211" s="323" t="e">
        <f t="shared" ca="1" si="113"/>
        <v>#N/A</v>
      </c>
      <c r="AE211" s="324">
        <f t="shared" ca="1" si="92"/>
        <v>374.73175125012062</v>
      </c>
      <c r="AG211" s="306">
        <f t="shared" ca="1" si="114"/>
        <v>-24.524199174519239</v>
      </c>
      <c r="AH211" s="304">
        <f t="shared" ca="1" si="115"/>
        <v>-14.928404601993421</v>
      </c>
    </row>
    <row r="212" spans="1:34" x14ac:dyDescent="0.3">
      <c r="A212" s="347">
        <f t="shared" ca="1" si="93"/>
        <v>0.1</v>
      </c>
      <c r="B212" s="304">
        <f t="shared" ca="1" si="94"/>
        <v>2.800000000000002</v>
      </c>
      <c r="D212" s="306">
        <f t="shared" ca="1" si="95"/>
        <v>-3.0299449674604748</v>
      </c>
      <c r="E212" s="307">
        <f t="shared" ca="1" si="96"/>
        <v>-23.990775339080045</v>
      </c>
      <c r="F212" s="304">
        <f t="shared" ca="1" si="97"/>
        <v>24.181353722983548</v>
      </c>
      <c r="G212" s="306">
        <f t="shared" ca="1" si="98"/>
        <v>36.980340622455962</v>
      </c>
      <c r="H212" s="307">
        <f t="shared" ca="1" si="99"/>
        <v>172.09471852344024</v>
      </c>
      <c r="I212" s="304">
        <f t="shared" ca="1" si="100"/>
        <v>176.02311705061638</v>
      </c>
      <c r="J212" s="306">
        <f t="shared" ca="1" si="101"/>
        <v>79.283216267067232</v>
      </c>
      <c r="K212" s="307">
        <f t="shared" ca="1" si="102"/>
        <v>392.06117697916005</v>
      </c>
      <c r="L212" s="304">
        <f t="shared" ca="1" si="87"/>
        <v>399.99724358542124</v>
      </c>
      <c r="M212" s="306">
        <f t="shared" ca="1" si="103"/>
        <v>1.3591313823338373</v>
      </c>
      <c r="N212" s="304">
        <f t="shared" ca="1" si="104"/>
        <v>77.872492011510332</v>
      </c>
      <c r="P212" s="310">
        <f t="shared" ca="1" si="105"/>
        <v>23</v>
      </c>
      <c r="Q212" s="304">
        <f t="shared" ca="1" si="106"/>
        <v>0</v>
      </c>
      <c r="R212" s="306">
        <f t="shared" ca="1" si="107"/>
        <v>0</v>
      </c>
      <c r="S212" s="307">
        <f t="shared" ca="1" si="108"/>
        <v>8.0499999999999989</v>
      </c>
      <c r="T212" s="304">
        <f t="shared" ca="1" si="88"/>
        <v>78.970499999999987</v>
      </c>
      <c r="U212" s="311">
        <f t="shared" ca="1" si="89"/>
        <v>0</v>
      </c>
      <c r="V212" s="306">
        <f t="shared" ca="1" si="90"/>
        <v>1.1778958904515586</v>
      </c>
      <c r="W212" s="304">
        <f t="shared" ca="1" si="91"/>
        <v>113.40406122216619</v>
      </c>
      <c r="Y212" s="314" t="str">
        <f t="shared" ca="1" si="109"/>
        <v/>
      </c>
      <c r="Z212" s="315" t="str">
        <f t="shared" ca="1" si="110"/>
        <v/>
      </c>
      <c r="AA212" s="316" t="str">
        <f t="shared" ca="1" si="111"/>
        <v/>
      </c>
      <c r="AC212" s="310" t="e">
        <f t="shared" ca="1" si="112"/>
        <v>#N/A</v>
      </c>
      <c r="AD212" s="323" t="e">
        <f t="shared" ca="1" si="113"/>
        <v>#N/A</v>
      </c>
      <c r="AE212" s="324">
        <f t="shared" ca="1" si="92"/>
        <v>392.06117697916005</v>
      </c>
      <c r="AG212" s="306">
        <f t="shared" ca="1" si="114"/>
        <v>-24.094319188750013</v>
      </c>
      <c r="AH212" s="304">
        <f t="shared" ca="1" si="115"/>
        <v>-14.500860516648652</v>
      </c>
    </row>
    <row r="213" spans="1:34" x14ac:dyDescent="0.3">
      <c r="A213" s="347">
        <f t="shared" ca="1" si="93"/>
        <v>0.1</v>
      </c>
      <c r="B213" s="304">
        <f t="shared" ca="1" si="94"/>
        <v>2.9000000000000021</v>
      </c>
      <c r="D213" s="306">
        <f t="shared" ca="1" si="95"/>
        <v>-2.9596061915359786</v>
      </c>
      <c r="E213" s="307">
        <f t="shared" ca="1" si="96"/>
        <v>-23.583063900967097</v>
      </c>
      <c r="F213" s="304">
        <f t="shared" ca="1" si="97"/>
        <v>23.768049389171075</v>
      </c>
      <c r="G213" s="306">
        <f t="shared" ca="1" si="98"/>
        <v>36.684380003302365</v>
      </c>
      <c r="H213" s="307">
        <f t="shared" ca="1" si="99"/>
        <v>169.73641213334352</v>
      </c>
      <c r="I213" s="304">
        <f t="shared" ca="1" si="100"/>
        <v>173.65538672936967</v>
      </c>
      <c r="J213" s="306">
        <f t="shared" ca="1" si="101"/>
        <v>82.966452298355151</v>
      </c>
      <c r="K213" s="307">
        <f t="shared" ca="1" si="102"/>
        <v>409.15273351199926</v>
      </c>
      <c r="L213" s="304">
        <f t="shared" ca="1" si="87"/>
        <v>417.47980974810781</v>
      </c>
      <c r="M213" s="306">
        <f t="shared" ca="1" si="103"/>
        <v>1.3579445700038948</v>
      </c>
      <c r="N213" s="304">
        <f t="shared" ca="1" si="104"/>
        <v>77.80449267393054</v>
      </c>
      <c r="P213" s="310">
        <f t="shared" ca="1" si="105"/>
        <v>23</v>
      </c>
      <c r="Q213" s="304">
        <f t="shared" ca="1" si="106"/>
        <v>0</v>
      </c>
      <c r="R213" s="306">
        <f t="shared" ca="1" si="107"/>
        <v>0</v>
      </c>
      <c r="S213" s="307">
        <f t="shared" ca="1" si="108"/>
        <v>8.0499999999999989</v>
      </c>
      <c r="T213" s="304">
        <f t="shared" ca="1" si="88"/>
        <v>78.970499999999987</v>
      </c>
      <c r="U213" s="311">
        <f t="shared" ca="1" si="89"/>
        <v>0</v>
      </c>
      <c r="V213" s="306">
        <f t="shared" ca="1" si="90"/>
        <v>1.1758835956987861</v>
      </c>
      <c r="W213" s="304">
        <f t="shared" ca="1" si="91"/>
        <v>110.18516779933007</v>
      </c>
      <c r="Y213" s="314" t="str">
        <f t="shared" ca="1" si="109"/>
        <v/>
      </c>
      <c r="Z213" s="315" t="str">
        <f t="shared" ca="1" si="110"/>
        <v/>
      </c>
      <c r="AA213" s="316" t="str">
        <f t="shared" ca="1" si="111"/>
        <v/>
      </c>
      <c r="AC213" s="310" t="e">
        <f t="shared" ca="1" si="112"/>
        <v>#N/A</v>
      </c>
      <c r="AD213" s="323" t="e">
        <f t="shared" ca="1" si="113"/>
        <v>#N/A</v>
      </c>
      <c r="AE213" s="324">
        <f t="shared" ca="1" si="92"/>
        <v>409.15273351199926</v>
      </c>
      <c r="AG213" s="306">
        <f t="shared" ca="1" si="114"/>
        <v>-23.678526200794671</v>
      </c>
      <c r="AH213" s="304">
        <f t="shared" ca="1" si="115"/>
        <v>-14.087461021387107</v>
      </c>
    </row>
    <row r="214" spans="1:34" x14ac:dyDescent="0.3">
      <c r="A214" s="347">
        <f t="shared" ca="1" si="93"/>
        <v>0.1</v>
      </c>
      <c r="B214" s="304">
        <f t="shared" ca="1" si="94"/>
        <v>3.0000000000000022</v>
      </c>
      <c r="D214" s="306">
        <f t="shared" ca="1" si="95"/>
        <v>-2.8914799223387622</v>
      </c>
      <c r="E214" s="307">
        <f t="shared" ca="1" si="96"/>
        <v>-23.18870308096249</v>
      </c>
      <c r="F214" s="304">
        <f t="shared" ca="1" si="97"/>
        <v>23.368282066046863</v>
      </c>
      <c r="G214" s="306">
        <f t="shared" ca="1" si="98"/>
        <v>36.395232011068487</v>
      </c>
      <c r="H214" s="307">
        <f t="shared" ca="1" si="99"/>
        <v>167.41754182524727</v>
      </c>
      <c r="I214" s="304">
        <f t="shared" ca="1" si="100"/>
        <v>171.32789096918202</v>
      </c>
      <c r="J214" s="306">
        <f t="shared" ca="1" si="101"/>
        <v>86.620432899073691</v>
      </c>
      <c r="K214" s="307">
        <f t="shared" ca="1" si="102"/>
        <v>426.01043120992881</v>
      </c>
      <c r="L214" s="304">
        <f t="shared" ca="1" si="87"/>
        <v>434.72748578309654</v>
      </c>
      <c r="M214" s="306">
        <f t="shared" ca="1" si="103"/>
        <v>1.3567349917551998</v>
      </c>
      <c r="N214" s="304">
        <f t="shared" ca="1" si="104"/>
        <v>77.735188945289494</v>
      </c>
      <c r="P214" s="310">
        <f t="shared" ca="1" si="105"/>
        <v>23</v>
      </c>
      <c r="Q214" s="304">
        <f t="shared" ca="1" si="106"/>
        <v>0</v>
      </c>
      <c r="R214" s="306">
        <f t="shared" ca="1" si="107"/>
        <v>0</v>
      </c>
      <c r="S214" s="307">
        <f t="shared" ca="1" si="108"/>
        <v>8.0499999999999989</v>
      </c>
      <c r="T214" s="304">
        <f t="shared" ca="1" si="88"/>
        <v>78.970499999999987</v>
      </c>
      <c r="U214" s="311">
        <f t="shared" ca="1" si="89"/>
        <v>0</v>
      </c>
      <c r="V214" s="306">
        <f t="shared" ca="1" si="90"/>
        <v>1.1739021333862847</v>
      </c>
      <c r="W214" s="304">
        <f t="shared" ca="1" si="91"/>
        <v>107.07061965004608</v>
      </c>
      <c r="Y214" s="314" t="str">
        <f t="shared" ca="1" si="109"/>
        <v/>
      </c>
      <c r="Z214" s="315" t="str">
        <f t="shared" ca="1" si="110"/>
        <v/>
      </c>
      <c r="AA214" s="316" t="str">
        <f t="shared" ca="1" si="111"/>
        <v/>
      </c>
      <c r="AC214" s="310">
        <f t="shared" ca="1" si="112"/>
        <v>3.0000000000000022</v>
      </c>
      <c r="AD214" s="323">
        <f t="shared" ca="1" si="113"/>
        <v>86.620432899073691</v>
      </c>
      <c r="AE214" s="324">
        <f t="shared" ca="1" si="92"/>
        <v>426.01043120992881</v>
      </c>
      <c r="AG214" s="306">
        <f t="shared" ca="1" si="114"/>
        <v>-23.276210933382821</v>
      </c>
      <c r="AH214" s="304">
        <f t="shared" ca="1" si="115"/>
        <v>-13.687598484388831</v>
      </c>
    </row>
    <row r="215" spans="1:34" x14ac:dyDescent="0.3">
      <c r="A215" s="347">
        <f t="shared" ca="1" si="93"/>
        <v>0.1</v>
      </c>
      <c r="B215" s="304">
        <f t="shared" ca="1" si="94"/>
        <v>3.1000000000000023</v>
      </c>
      <c r="D215" s="306">
        <f t="shared" ca="1" si="95"/>
        <v>-2.8254710326020325</v>
      </c>
      <c r="E215" s="307">
        <f t="shared" ca="1" si="96"/>
        <v>-22.807125959598686</v>
      </c>
      <c r="F215" s="304">
        <f t="shared" ca="1" si="97"/>
        <v>22.981476912789429</v>
      </c>
      <c r="G215" s="306">
        <f t="shared" ca="1" si="98"/>
        <v>36.11268490780828</v>
      </c>
      <c r="H215" s="307">
        <f t="shared" ca="1" si="99"/>
        <v>165.1368292292874</v>
      </c>
      <c r="I215" s="304">
        <f t="shared" ca="1" si="100"/>
        <v>169.03933973827947</v>
      </c>
      <c r="J215" s="306">
        <f t="shared" ca="1" si="101"/>
        <v>90.245828745017533</v>
      </c>
      <c r="K215" s="307">
        <f t="shared" ca="1" si="102"/>
        <v>442.63814976265553</v>
      </c>
      <c r="L215" s="304">
        <f t="shared" ca="1" si="87"/>
        <v>451.74422102687942</v>
      </c>
      <c r="M215" s="306">
        <f t="shared" ca="1" si="103"/>
        <v>1.3555021772002567</v>
      </c>
      <c r="N215" s="304">
        <f t="shared" ca="1" si="104"/>
        <v>77.664553874368949</v>
      </c>
      <c r="P215" s="310">
        <f t="shared" ca="1" si="105"/>
        <v>23</v>
      </c>
      <c r="Q215" s="304">
        <f t="shared" ca="1" si="106"/>
        <v>0</v>
      </c>
      <c r="R215" s="306">
        <f t="shared" ca="1" si="107"/>
        <v>0</v>
      </c>
      <c r="S215" s="307">
        <f t="shared" ca="1" si="108"/>
        <v>8.0499999999999989</v>
      </c>
      <c r="T215" s="304">
        <f t="shared" ca="1" si="88"/>
        <v>78.970499999999987</v>
      </c>
      <c r="U215" s="311">
        <f t="shared" ca="1" si="89"/>
        <v>0</v>
      </c>
      <c r="V215" s="306">
        <f t="shared" ca="1" si="90"/>
        <v>1.1719509043317338</v>
      </c>
      <c r="W215" s="304">
        <f t="shared" ca="1" si="91"/>
        <v>104.05603672469931</v>
      </c>
      <c r="Y215" s="314" t="str">
        <f t="shared" ca="1" si="109"/>
        <v/>
      </c>
      <c r="Z215" s="315" t="str">
        <f t="shared" ca="1" si="110"/>
        <v/>
      </c>
      <c r="AA215" s="316" t="str">
        <f t="shared" ca="1" si="111"/>
        <v/>
      </c>
      <c r="AC215" s="310" t="e">
        <f t="shared" ca="1" si="112"/>
        <v>#N/A</v>
      </c>
      <c r="AD215" s="323" t="e">
        <f t="shared" ca="1" si="113"/>
        <v>#N/A</v>
      </c>
      <c r="AE215" s="324">
        <f t="shared" ca="1" si="92"/>
        <v>442.63814976265553</v>
      </c>
      <c r="AG215" s="306">
        <f t="shared" ca="1" si="114"/>
        <v>-22.886796865620816</v>
      </c>
      <c r="AH215" s="304">
        <f t="shared" ca="1" si="115"/>
        <v>-13.300698093173429</v>
      </c>
    </row>
    <row r="216" spans="1:34" x14ac:dyDescent="0.3">
      <c r="A216" s="347">
        <f t="shared" ca="1" si="93"/>
        <v>0.1</v>
      </c>
      <c r="B216" s="304">
        <f t="shared" ca="1" si="94"/>
        <v>3.2000000000000024</v>
      </c>
      <c r="D216" s="306">
        <f t="shared" ca="1" si="95"/>
        <v>-2.7614894667188725</v>
      </c>
      <c r="E216" s="307">
        <f t="shared" ca="1" si="96"/>
        <v>-22.437795901861321</v>
      </c>
      <c r="F216" s="304">
        <f t="shared" ca="1" si="97"/>
        <v>22.607089795203272</v>
      </c>
      <c r="G216" s="306">
        <f t="shared" ca="1" si="98"/>
        <v>35.836535961136391</v>
      </c>
      <c r="H216" s="307">
        <f t="shared" ca="1" si="99"/>
        <v>162.89304963910126</v>
      </c>
      <c r="I216" s="304">
        <f t="shared" ca="1" si="100"/>
        <v>166.78849759626868</v>
      </c>
      <c r="J216" s="306">
        <f t="shared" ca="1" si="101"/>
        <v>93.843289788464773</v>
      </c>
      <c r="K216" s="307">
        <f t="shared" ca="1" si="102"/>
        <v>459.03964370607497</v>
      </c>
      <c r="L216" s="304">
        <f t="shared" ca="1" si="87"/>
        <v>468.53383819327502</v>
      </c>
      <c r="M216" s="306">
        <f t="shared" ca="1" si="103"/>
        <v>1.354245640968337</v>
      </c>
      <c r="N216" s="304">
        <f t="shared" ca="1" si="104"/>
        <v>77.592559651474687</v>
      </c>
      <c r="P216" s="310">
        <f t="shared" ca="1" si="105"/>
        <v>23</v>
      </c>
      <c r="Q216" s="304">
        <f t="shared" ca="1" si="106"/>
        <v>0</v>
      </c>
      <c r="R216" s="306">
        <f t="shared" ca="1" si="107"/>
        <v>0</v>
      </c>
      <c r="S216" s="307">
        <f t="shared" ca="1" si="108"/>
        <v>8.0499999999999989</v>
      </c>
      <c r="T216" s="304">
        <f t="shared" ca="1" si="88"/>
        <v>78.970499999999987</v>
      </c>
      <c r="U216" s="311">
        <f t="shared" ca="1" si="89"/>
        <v>0</v>
      </c>
      <c r="V216" s="306">
        <f t="shared" ca="1" si="90"/>
        <v>1.170029329496125</v>
      </c>
      <c r="W216" s="304">
        <f t="shared" ca="1" si="91"/>
        <v>101.13727042900686</v>
      </c>
      <c r="Y216" s="314" t="str">
        <f t="shared" ca="1" si="109"/>
        <v/>
      </c>
      <c r="Z216" s="315" t="str">
        <f t="shared" ca="1" si="110"/>
        <v/>
      </c>
      <c r="AA216" s="316" t="str">
        <f t="shared" ca="1" si="111"/>
        <v/>
      </c>
      <c r="AC216" s="310" t="e">
        <f t="shared" ca="1" si="112"/>
        <v>#N/A</v>
      </c>
      <c r="AD216" s="323" t="e">
        <f t="shared" ca="1" si="113"/>
        <v>#N/A</v>
      </c>
      <c r="AE216" s="324">
        <f t="shared" ca="1" si="92"/>
        <v>459.03964370607497</v>
      </c>
      <c r="AG216" s="306">
        <f t="shared" ca="1" si="114"/>
        <v>-22.509738117803749</v>
      </c>
      <c r="AH216" s="304">
        <f t="shared" ca="1" si="115"/>
        <v>-12.926215742198673</v>
      </c>
    </row>
    <row r="217" spans="1:34" x14ac:dyDescent="0.3">
      <c r="A217" s="347">
        <f t="shared" ca="1" si="93"/>
        <v>0.1</v>
      </c>
      <c r="B217" s="304">
        <f t="shared" ca="1" si="94"/>
        <v>3.3000000000000025</v>
      </c>
      <c r="D217" s="306">
        <f t="shared" ca="1" si="95"/>
        <v>-2.6994499177434745</v>
      </c>
      <c r="E217" s="307">
        <f t="shared" ca="1" si="96"/>
        <v>-22.080204629323546</v>
      </c>
      <c r="F217" s="304">
        <f t="shared" ca="1" si="97"/>
        <v>22.244605330983202</v>
      </c>
      <c r="G217" s="306">
        <f t="shared" ca="1" si="98"/>
        <v>35.566590969362046</v>
      </c>
      <c r="H217" s="307">
        <f t="shared" ca="1" si="99"/>
        <v>160.68502917616891</v>
      </c>
      <c r="I217" s="304">
        <f t="shared" ca="1" si="100"/>
        <v>164.57418082593685</v>
      </c>
      <c r="J217" s="306">
        <f t="shared" ca="1" si="101"/>
        <v>97.413446134989698</v>
      </c>
      <c r="K217" s="307">
        <f t="shared" ca="1" si="102"/>
        <v>475.21854764683849</v>
      </c>
      <c r="L217" s="304">
        <f t="shared" ca="1" si="87"/>
        <v>485.10003866776287</v>
      </c>
      <c r="M217" s="306">
        <f t="shared" ca="1" si="103"/>
        <v>1.3529648821624296</v>
      </c>
      <c r="N217" s="304">
        <f t="shared" ca="1" si="104"/>
        <v>77.519177577321969</v>
      </c>
      <c r="P217" s="310">
        <f t="shared" ca="1" si="105"/>
        <v>23</v>
      </c>
      <c r="Q217" s="304">
        <f t="shared" ca="1" si="106"/>
        <v>0</v>
      </c>
      <c r="R217" s="306">
        <f t="shared" ca="1" si="107"/>
        <v>0</v>
      </c>
      <c r="S217" s="307">
        <f t="shared" ca="1" si="108"/>
        <v>8.0499999999999989</v>
      </c>
      <c r="T217" s="304">
        <f t="shared" ca="1" si="88"/>
        <v>78.970499999999987</v>
      </c>
      <c r="U217" s="311">
        <f t="shared" ca="1" si="89"/>
        <v>0</v>
      </c>
      <c r="V217" s="306">
        <f t="shared" ca="1" si="90"/>
        <v>1.1681368491122379</v>
      </c>
      <c r="W217" s="304">
        <f t="shared" ca="1" si="91"/>
        <v>98.310389050339367</v>
      </c>
      <c r="Y217" s="314" t="str">
        <f t="shared" ca="1" si="109"/>
        <v/>
      </c>
      <c r="Z217" s="315" t="str">
        <f t="shared" ca="1" si="110"/>
        <v/>
      </c>
      <c r="AA217" s="316" t="str">
        <f t="shared" ca="1" si="111"/>
        <v/>
      </c>
      <c r="AC217" s="310" t="e">
        <f t="shared" ca="1" si="112"/>
        <v>#N/A</v>
      </c>
      <c r="AD217" s="323" t="e">
        <f t="shared" ca="1" si="113"/>
        <v>#N/A</v>
      </c>
      <c r="AE217" s="324">
        <f t="shared" ca="1" si="92"/>
        <v>475.21854764683849</v>
      </c>
      <c r="AG217" s="306">
        <f t="shared" ca="1" si="114"/>
        <v>-22.144517493759366</v>
      </c>
      <c r="AH217" s="304">
        <f t="shared" ca="1" si="115"/>
        <v>-12.563636078137501</v>
      </c>
    </row>
    <row r="218" spans="1:34" x14ac:dyDescent="0.3">
      <c r="A218" s="347">
        <f t="shared" ca="1" si="93"/>
        <v>0.1</v>
      </c>
      <c r="B218" s="304">
        <f t="shared" ca="1" si="94"/>
        <v>3.4000000000000026</v>
      </c>
      <c r="D218" s="306">
        <f t="shared" ca="1" si="95"/>
        <v>-2.6392715282451866</v>
      </c>
      <c r="E218" s="307">
        <f t="shared" ca="1" si="96"/>
        <v>-21.733870434623125</v>
      </c>
      <c r="F218" s="304">
        <f t="shared" ca="1" si="97"/>
        <v>21.893535079305739</v>
      </c>
      <c r="G218" s="306">
        <f t="shared" ca="1" si="98"/>
        <v>35.302663816537525</v>
      </c>
      <c r="H218" s="307">
        <f t="shared" ca="1" si="99"/>
        <v>158.51164213270661</v>
      </c>
      <c r="I218" s="304">
        <f t="shared" ca="1" si="100"/>
        <v>162.39525474640791</v>
      </c>
      <c r="J218" s="306">
        <f t="shared" ca="1" si="101"/>
        <v>100.95690887428468</v>
      </c>
      <c r="K218" s="307">
        <f t="shared" ca="1" si="102"/>
        <v>491.17838121228226</v>
      </c>
      <c r="L218" s="304">
        <f t="shared" ca="1" si="87"/>
        <v>501.44640752504023</v>
      </c>
      <c r="M218" s="306">
        <f t="shared" ca="1" si="103"/>
        <v>1.3516593837914443</v>
      </c>
      <c r="N218" s="304">
        <f t="shared" ca="1" si="104"/>
        <v>77.444378030503316</v>
      </c>
      <c r="P218" s="310">
        <f t="shared" ca="1" si="105"/>
        <v>23</v>
      </c>
      <c r="Q218" s="304">
        <f t="shared" ca="1" si="106"/>
        <v>0</v>
      </c>
      <c r="R218" s="306">
        <f t="shared" ca="1" si="107"/>
        <v>0</v>
      </c>
      <c r="S218" s="307">
        <f t="shared" ca="1" si="108"/>
        <v>8.0499999999999989</v>
      </c>
      <c r="T218" s="304">
        <f t="shared" ca="1" si="88"/>
        <v>78.970499999999987</v>
      </c>
      <c r="U218" s="311">
        <f t="shared" ca="1" si="89"/>
        <v>0</v>
      </c>
      <c r="V218" s="306">
        <f t="shared" ca="1" si="90"/>
        <v>1.1662729218601973</v>
      </c>
      <c r="W218" s="304">
        <f t="shared" ca="1" si="91"/>
        <v>95.571664248573811</v>
      </c>
      <c r="Y218" s="314" t="str">
        <f t="shared" ca="1" si="109"/>
        <v/>
      </c>
      <c r="Z218" s="315" t="str">
        <f t="shared" ca="1" si="110"/>
        <v/>
      </c>
      <c r="AA218" s="316" t="str">
        <f t="shared" ca="1" si="111"/>
        <v/>
      </c>
      <c r="AC218" s="310" t="e">
        <f t="shared" ca="1" si="112"/>
        <v>#N/A</v>
      </c>
      <c r="AD218" s="323" t="e">
        <f t="shared" ca="1" si="113"/>
        <v>#N/A</v>
      </c>
      <c r="AE218" s="324">
        <f t="shared" ca="1" si="92"/>
        <v>491.17838121228226</v>
      </c>
      <c r="AG218" s="306">
        <f t="shared" ca="1" si="114"/>
        <v>-21.790644667365044</v>
      </c>
      <c r="AH218" s="304">
        <f t="shared" ca="1" si="115"/>
        <v>-12.212470689483153</v>
      </c>
    </row>
    <row r="219" spans="1:34" x14ac:dyDescent="0.3">
      <c r="A219" s="347">
        <f t="shared" ca="1" si="93"/>
        <v>0.1</v>
      </c>
      <c r="B219" s="304">
        <f t="shared" ca="1" si="94"/>
        <v>3.5000000000000027</v>
      </c>
      <c r="D219" s="306">
        <f t="shared" ca="1" si="95"/>
        <v>-2.5808776130178144</v>
      </c>
      <c r="E219" s="307">
        <f t="shared" ca="1" si="96"/>
        <v>-21.398336526360133</v>
      </c>
      <c r="F219" s="304">
        <f t="shared" ca="1" si="97"/>
        <v>21.553415862659328</v>
      </c>
      <c r="G219" s="306">
        <f t="shared" ca="1" si="98"/>
        <v>35.044576055235744</v>
      </c>
      <c r="H219" s="307">
        <f t="shared" ca="1" si="99"/>
        <v>156.3718084800706</v>
      </c>
      <c r="I219" s="304">
        <f t="shared" ca="1" si="100"/>
        <v>160.25063119444829</v>
      </c>
      <c r="J219" s="306">
        <f t="shared" ca="1" si="101"/>
        <v>104.47427086787334</v>
      </c>
      <c r="K219" s="307">
        <f t="shared" ca="1" si="102"/>
        <v>506.92255374292114</v>
      </c>
      <c r="L219" s="304">
        <f t="shared" ca="1" si="87"/>
        <v>517.57641828682506</v>
      </c>
      <c r="M219" s="306">
        <f t="shared" ca="1" si="103"/>
        <v>1.3503286121764186</v>
      </c>
      <c r="N219" s="304">
        <f t="shared" ca="1" si="104"/>
        <v>77.368130433466533</v>
      </c>
      <c r="P219" s="310">
        <f t="shared" ca="1" si="105"/>
        <v>23</v>
      </c>
      <c r="Q219" s="304">
        <f t="shared" ca="1" si="106"/>
        <v>0</v>
      </c>
      <c r="R219" s="306">
        <f t="shared" ca="1" si="107"/>
        <v>0</v>
      </c>
      <c r="S219" s="307">
        <f t="shared" ca="1" si="108"/>
        <v>8.0499999999999989</v>
      </c>
      <c r="T219" s="304">
        <f t="shared" ca="1" si="88"/>
        <v>78.970499999999987</v>
      </c>
      <c r="U219" s="311">
        <f t="shared" ca="1" si="89"/>
        <v>0</v>
      </c>
      <c r="V219" s="306">
        <f t="shared" ca="1" si="90"/>
        <v>1.164437024087094</v>
      </c>
      <c r="W219" s="304">
        <f t="shared" ca="1" si="91"/>
        <v>92.917558523262741</v>
      </c>
      <c r="Y219" s="314" t="str">
        <f t="shared" ca="1" si="109"/>
        <v/>
      </c>
      <c r="Z219" s="315" t="str">
        <f t="shared" ca="1" si="110"/>
        <v/>
      </c>
      <c r="AA219" s="316" t="str">
        <f t="shared" ca="1" si="111"/>
        <v>Satellite</v>
      </c>
      <c r="AC219" s="310" t="e">
        <f t="shared" ca="1" si="112"/>
        <v>#N/A</v>
      </c>
      <c r="AD219" s="323" t="e">
        <f t="shared" ca="1" si="113"/>
        <v>#N/A</v>
      </c>
      <c r="AE219" s="324">
        <f t="shared" ca="1" si="92"/>
        <v>506.92255374292114</v>
      </c>
      <c r="AG219" s="306">
        <f t="shared" ca="1" si="114"/>
        <v>-21.447654501140278</v>
      </c>
      <c r="AH219" s="304">
        <f t="shared" ca="1" si="115"/>
        <v>-11.872256428394264</v>
      </c>
    </row>
    <row r="220" spans="1:34" x14ac:dyDescent="0.3">
      <c r="A220" s="347">
        <f t="shared" ca="1" si="93"/>
        <v>0.1</v>
      </c>
      <c r="B220" s="304">
        <f t="shared" ca="1" si="94"/>
        <v>3.6000000000000028</v>
      </c>
      <c r="D220" s="306">
        <f t="shared" ca="1" si="95"/>
        <v>-2.524195401833238</v>
      </c>
      <c r="E220" s="307">
        <f t="shared" ca="1" si="96"/>
        <v>-21.073169493607587</v>
      </c>
      <c r="F220" s="304">
        <f t="shared" ca="1" si="97"/>
        <v>21.22380820995491</v>
      </c>
      <c r="G220" s="306">
        <f t="shared" ca="1" si="98"/>
        <v>34.792156515052419</v>
      </c>
      <c r="H220" s="307">
        <f t="shared" ca="1" si="99"/>
        <v>154.26449153070985</v>
      </c>
      <c r="I220" s="304">
        <f t="shared" ca="1" si="100"/>
        <v>158.1392661618118</v>
      </c>
      <c r="J220" s="306">
        <f t="shared" ca="1" si="101"/>
        <v>107.96610749638775</v>
      </c>
      <c r="K220" s="307">
        <f t="shared" ca="1" si="102"/>
        <v>522.45436874346012</v>
      </c>
      <c r="L220" s="304">
        <f t="shared" ca="1" si="87"/>
        <v>533.49343743578413</v>
      </c>
      <c r="M220" s="306">
        <f t="shared" ca="1" si="103"/>
        <v>1.3489720163293939</v>
      </c>
      <c r="N220" s="304">
        <f t="shared" ca="1" si="104"/>
        <v>77.290403216927047</v>
      </c>
      <c r="P220" s="310">
        <f t="shared" ca="1" si="105"/>
        <v>23</v>
      </c>
      <c r="Q220" s="304">
        <f t="shared" ca="1" si="106"/>
        <v>0</v>
      </c>
      <c r="R220" s="306">
        <f t="shared" ca="1" si="107"/>
        <v>0</v>
      </c>
      <c r="S220" s="307">
        <f t="shared" ca="1" si="108"/>
        <v>8.0499999999999989</v>
      </c>
      <c r="T220" s="304">
        <f t="shared" ca="1" si="88"/>
        <v>78.970499999999987</v>
      </c>
      <c r="U220" s="311">
        <f t="shared" ca="1" si="89"/>
        <v>0</v>
      </c>
      <c r="V220" s="306">
        <f t="shared" ca="1" si="90"/>
        <v>1.1626286490678723</v>
      </c>
      <c r="W220" s="304">
        <f t="shared" ca="1" si="91"/>
        <v>90.344713577066017</v>
      </c>
      <c r="Y220" s="314" t="str">
        <f t="shared" ca="1" si="109"/>
        <v/>
      </c>
      <c r="Z220" s="315" t="str">
        <f t="shared" ca="1" si="110"/>
        <v/>
      </c>
      <c r="AA220" s="316" t="str">
        <f t="shared" ca="1" si="111"/>
        <v/>
      </c>
      <c r="AC220" s="310" t="e">
        <f t="shared" ca="1" si="112"/>
        <v>#N/A</v>
      </c>
      <c r="AD220" s="323" t="e">
        <f t="shared" ca="1" si="113"/>
        <v>#N/A</v>
      </c>
      <c r="AE220" s="324">
        <f t="shared" ca="1" si="92"/>
        <v>522.45436874346012</v>
      </c>
      <c r="AG220" s="306">
        <f t="shared" ca="1" si="114"/>
        <v>-21.115105485946554</v>
      </c>
      <c r="AH220" s="304">
        <f t="shared" ca="1" si="115"/>
        <v>-11.54255385382146</v>
      </c>
    </row>
    <row r="221" spans="1:34" x14ac:dyDescent="0.3">
      <c r="A221" s="347">
        <f t="shared" ca="1" si="93"/>
        <v>0.1</v>
      </c>
      <c r="B221" s="304">
        <f t="shared" ca="1" si="94"/>
        <v>3.7000000000000028</v>
      </c>
      <c r="D221" s="306">
        <f t="shared" ca="1" si="95"/>
        <v>-2.4691558005961034</v>
      </c>
      <c r="E221" s="307">
        <f t="shared" ca="1" si="96"/>
        <v>-20.757957880227043</v>
      </c>
      <c r="F221" s="304">
        <f t="shared" ca="1" si="97"/>
        <v>20.90429491097218</v>
      </c>
      <c r="G221" s="306">
        <f t="shared" ca="1" si="98"/>
        <v>34.545240934992812</v>
      </c>
      <c r="H221" s="307">
        <f t="shared" ca="1" si="99"/>
        <v>152.18869574268714</v>
      </c>
      <c r="I221" s="304">
        <f t="shared" ca="1" si="100"/>
        <v>156.06015757750887</v>
      </c>
      <c r="J221" s="306">
        <f t="shared" ca="1" si="101"/>
        <v>111.43297736889001</v>
      </c>
      <c r="K221" s="307">
        <f t="shared" ca="1" si="102"/>
        <v>537.77702810712992</v>
      </c>
      <c r="L221" s="304">
        <f t="shared" ca="1" si="87"/>
        <v>549.20072870038359</v>
      </c>
      <c r="M221" s="306">
        <f t="shared" ca="1" si="103"/>
        <v>1.3475890273035558</v>
      </c>
      <c r="N221" s="304">
        <f t="shared" ca="1" si="104"/>
        <v>77.211163782633605</v>
      </c>
      <c r="P221" s="310">
        <f t="shared" ca="1" si="105"/>
        <v>23</v>
      </c>
      <c r="Q221" s="304">
        <f t="shared" ca="1" si="106"/>
        <v>0</v>
      </c>
      <c r="R221" s="306">
        <f t="shared" ca="1" si="107"/>
        <v>0</v>
      </c>
      <c r="S221" s="307">
        <f t="shared" ca="1" si="108"/>
        <v>8.0499999999999989</v>
      </c>
      <c r="T221" s="304">
        <f t="shared" ca="1" si="88"/>
        <v>78.970499999999987</v>
      </c>
      <c r="U221" s="311">
        <f t="shared" ca="1" si="89"/>
        <v>0</v>
      </c>
      <c r="V221" s="306">
        <f t="shared" ca="1" si="90"/>
        <v>1.1608473063048974</v>
      </c>
      <c r="W221" s="304">
        <f t="shared" ca="1" si="91"/>
        <v>87.849939502719295</v>
      </c>
      <c r="Y221" s="314" t="str">
        <f t="shared" ca="1" si="109"/>
        <v/>
      </c>
      <c r="Z221" s="315" t="str">
        <f t="shared" ca="1" si="110"/>
        <v/>
      </c>
      <c r="AA221" s="316" t="str">
        <f t="shared" ca="1" si="111"/>
        <v/>
      </c>
      <c r="AC221" s="310" t="e">
        <f t="shared" ca="1" si="112"/>
        <v>#N/A</v>
      </c>
      <c r="AD221" s="323" t="e">
        <f t="shared" ca="1" si="113"/>
        <v>#N/A</v>
      </c>
      <c r="AE221" s="324">
        <f t="shared" ca="1" si="92"/>
        <v>537.77702810712992</v>
      </c>
      <c r="AG221" s="306">
        <f t="shared" ca="1" si="114"/>
        <v>-20.792578291839426</v>
      </c>
      <c r="AH221" s="304">
        <f t="shared" ca="1" si="115"/>
        <v>-11.222945785970936</v>
      </c>
    </row>
    <row r="222" spans="1:34" x14ac:dyDescent="0.3">
      <c r="A222" s="347">
        <f t="shared" ca="1" si="93"/>
        <v>0.1</v>
      </c>
      <c r="B222" s="304">
        <f t="shared" ca="1" si="94"/>
        <v>3.8000000000000029</v>
      </c>
      <c r="D222" s="306">
        <f t="shared" ca="1" si="95"/>
        <v>-2.4156931694066874</v>
      </c>
      <c r="E222" s="307">
        <f t="shared" ca="1" si="96"/>
        <v>-20.452310860079063</v>
      </c>
      <c r="F222" s="304">
        <f t="shared" ca="1" si="97"/>
        <v>20.594479673107212</v>
      </c>
      <c r="G222" s="306">
        <f t="shared" ca="1" si="98"/>
        <v>34.303671618052142</v>
      </c>
      <c r="H222" s="307">
        <f t="shared" ca="1" si="99"/>
        <v>150.14346465667924</v>
      </c>
      <c r="I222" s="304">
        <f t="shared" ca="1" si="100"/>
        <v>154.01234322479041</v>
      </c>
      <c r="J222" s="306">
        <f t="shared" ca="1" si="101"/>
        <v>114.87542299654226</v>
      </c>
      <c r="K222" s="307">
        <f t="shared" ca="1" si="102"/>
        <v>552.89363612709826</v>
      </c>
      <c r="L222" s="304">
        <f t="shared" ca="1" si="87"/>
        <v>564.70145712445139</v>
      </c>
      <c r="M222" s="306">
        <f t="shared" ca="1" si="103"/>
        <v>1.346179057513146</v>
      </c>
      <c r="N222" s="304">
        <f t="shared" ca="1" si="104"/>
        <v>77.130378464402185</v>
      </c>
      <c r="P222" s="310">
        <f t="shared" ca="1" si="105"/>
        <v>23</v>
      </c>
      <c r="Q222" s="304">
        <f t="shared" ca="1" si="106"/>
        <v>0</v>
      </c>
      <c r="R222" s="306">
        <f t="shared" ca="1" si="107"/>
        <v>0</v>
      </c>
      <c r="S222" s="307">
        <f t="shared" ca="1" si="108"/>
        <v>8.0499999999999989</v>
      </c>
      <c r="T222" s="304">
        <f t="shared" ca="1" si="88"/>
        <v>78.970499999999987</v>
      </c>
      <c r="U222" s="311">
        <f t="shared" ca="1" si="89"/>
        <v>0</v>
      </c>
      <c r="V222" s="306">
        <f t="shared" ca="1" si="90"/>
        <v>1.1590925208638096</v>
      </c>
      <c r="W222" s="304">
        <f t="shared" ca="1" si="91"/>
        <v>85.430204727404529</v>
      </c>
      <c r="Y222" s="314" t="str">
        <f t="shared" ca="1" si="109"/>
        <v/>
      </c>
      <c r="Z222" s="315" t="str">
        <f t="shared" ca="1" si="110"/>
        <v/>
      </c>
      <c r="AA222" s="316" t="str">
        <f t="shared" ca="1" si="111"/>
        <v/>
      </c>
      <c r="AC222" s="310" t="e">
        <f t="shared" ca="1" si="112"/>
        <v>#N/A</v>
      </c>
      <c r="AD222" s="323" t="e">
        <f t="shared" ca="1" si="113"/>
        <v>#N/A</v>
      </c>
      <c r="AE222" s="324">
        <f t="shared" ca="1" si="92"/>
        <v>552.89363612709826</v>
      </c>
      <c r="AG222" s="306">
        <f t="shared" ca="1" si="114"/>
        <v>-20.479674421027301</v>
      </c>
      <c r="AH222" s="304">
        <f t="shared" ca="1" si="115"/>
        <v>-10.913035963070721</v>
      </c>
    </row>
    <row r="223" spans="1:34" x14ac:dyDescent="0.3">
      <c r="A223" s="347">
        <f t="shared" ca="1" si="93"/>
        <v>0.1</v>
      </c>
      <c r="B223" s="304">
        <f t="shared" ca="1" si="94"/>
        <v>3.900000000000003</v>
      </c>
      <c r="D223" s="306">
        <f t="shared" ca="1" si="95"/>
        <v>-2.3637451161744414</v>
      </c>
      <c r="E223" s="307">
        <f t="shared" ca="1" si="96"/>
        <v>-20.155857005025979</v>
      </c>
      <c r="F223" s="304">
        <f t="shared" ca="1" si="97"/>
        <v>20.293985872205916</v>
      </c>
      <c r="G223" s="306">
        <f t="shared" ca="1" si="98"/>
        <v>34.067297106434701</v>
      </c>
      <c r="H223" s="307">
        <f t="shared" ca="1" si="99"/>
        <v>148.12787895617663</v>
      </c>
      <c r="I223" s="304">
        <f t="shared" ca="1" si="100"/>
        <v>151.99489878345855</v>
      </c>
      <c r="J223" s="306">
        <f t="shared" ca="1" si="101"/>
        <v>118.2939714327666</v>
      </c>
      <c r="K223" s="307">
        <f t="shared" ca="1" si="102"/>
        <v>567.80720330774102</v>
      </c>
      <c r="L223" s="304">
        <f t="shared" ca="1" si="87"/>
        <v>579.99869293429833</v>
      </c>
      <c r="M223" s="306">
        <f t="shared" ca="1" si="103"/>
        <v>1.3447415000215619</v>
      </c>
      <c r="N223" s="304">
        <f t="shared" ca="1" si="104"/>
        <v>77.048012487327</v>
      </c>
      <c r="P223" s="310">
        <f t="shared" ca="1" si="105"/>
        <v>23</v>
      </c>
      <c r="Q223" s="304">
        <f t="shared" ca="1" si="106"/>
        <v>0</v>
      </c>
      <c r="R223" s="306">
        <f t="shared" ca="1" si="107"/>
        <v>0</v>
      </c>
      <c r="S223" s="307">
        <f t="shared" ca="1" si="108"/>
        <v>8.0499999999999989</v>
      </c>
      <c r="T223" s="304">
        <f t="shared" ca="1" si="88"/>
        <v>78.970499999999987</v>
      </c>
      <c r="U223" s="311">
        <f t="shared" ca="1" si="89"/>
        <v>0</v>
      </c>
      <c r="V223" s="306">
        <f t="shared" ca="1" si="90"/>
        <v>1.1573638327434226</v>
      </c>
      <c r="W223" s="304">
        <f t="shared" ca="1" si="91"/>
        <v>83.082626654315135</v>
      </c>
      <c r="Y223" s="314" t="str">
        <f t="shared" ca="1" si="109"/>
        <v/>
      </c>
      <c r="Z223" s="315" t="str">
        <f t="shared" ca="1" si="110"/>
        <v/>
      </c>
      <c r="AA223" s="316" t="str">
        <f t="shared" ca="1" si="111"/>
        <v/>
      </c>
      <c r="AC223" s="310" t="e">
        <f t="shared" ca="1" si="112"/>
        <v>#N/A</v>
      </c>
      <c r="AD223" s="323" t="e">
        <f t="shared" ca="1" si="113"/>
        <v>#N/A</v>
      </c>
      <c r="AE223" s="324">
        <f t="shared" ca="1" si="92"/>
        <v>567.80720330774102</v>
      </c>
      <c r="AG223" s="306">
        <f t="shared" ca="1" si="114"/>
        <v>-20.176014954709483</v>
      </c>
      <c r="AH223" s="304">
        <f t="shared" ca="1" si="115"/>
        <v>-10.612447792224167</v>
      </c>
    </row>
    <row r="224" spans="1:34" x14ac:dyDescent="0.3">
      <c r="A224" s="347">
        <f t="shared" ca="1" si="93"/>
        <v>0.1</v>
      </c>
      <c r="B224" s="304">
        <f t="shared" ca="1" si="94"/>
        <v>4.0000000000000027</v>
      </c>
      <c r="D224" s="306">
        <f t="shared" ca="1" si="95"/>
        <v>-2.3132523045463826</v>
      </c>
      <c r="E224" s="307">
        <f t="shared" ca="1" si="96"/>
        <v>-19.868243138350461</v>
      </c>
      <c r="F224" s="304">
        <f t="shared" ca="1" si="97"/>
        <v>20.002455390003981</v>
      </c>
      <c r="G224" s="306">
        <f t="shared" ca="1" si="98"/>
        <v>33.835971875980064</v>
      </c>
      <c r="H224" s="307">
        <f t="shared" ca="1" si="99"/>
        <v>146.14105464234157</v>
      </c>
      <c r="I224" s="304">
        <f t="shared" ca="1" si="100"/>
        <v>150.00693598886679</v>
      </c>
      <c r="J224" s="306">
        <f t="shared" ca="1" si="101"/>
        <v>121.68913488188734</v>
      </c>
      <c r="K224" s="307">
        <f t="shared" ca="1" si="102"/>
        <v>582.52064998766696</v>
      </c>
      <c r="L224" s="304">
        <f t="shared" ca="1" si="87"/>
        <v>595.09541521537221</v>
      </c>
      <c r="M224" s="306">
        <f t="shared" ca="1" si="103"/>
        <v>1.3432757277959715</v>
      </c>
      <c r="N224" s="304">
        <f t="shared" ca="1" si="104"/>
        <v>76.964029925073163</v>
      </c>
      <c r="P224" s="310">
        <f t="shared" ca="1" si="105"/>
        <v>23</v>
      </c>
      <c r="Q224" s="304">
        <f t="shared" ca="1" si="106"/>
        <v>0</v>
      </c>
      <c r="R224" s="306">
        <f t="shared" ca="1" si="107"/>
        <v>0</v>
      </c>
      <c r="S224" s="307">
        <f t="shared" ca="1" si="108"/>
        <v>8.0499999999999989</v>
      </c>
      <c r="T224" s="304">
        <f t="shared" ca="1" si="88"/>
        <v>78.970499999999987</v>
      </c>
      <c r="U224" s="311">
        <f t="shared" ca="1" si="89"/>
        <v>0</v>
      </c>
      <c r="V224" s="306">
        <f t="shared" ca="1" si="90"/>
        <v>1.1556607962776106</v>
      </c>
      <c r="W224" s="304">
        <f t="shared" ca="1" si="91"/>
        <v>80.804462946557393</v>
      </c>
      <c r="Y224" s="314" t="str">
        <f t="shared" ca="1" si="109"/>
        <v/>
      </c>
      <c r="Z224" s="315" t="str">
        <f t="shared" ca="1" si="110"/>
        <v/>
      </c>
      <c r="AA224" s="316" t="str">
        <f t="shared" ca="1" si="111"/>
        <v/>
      </c>
      <c r="AC224" s="310">
        <f t="shared" ca="1" si="112"/>
        <v>4.0000000000000027</v>
      </c>
      <c r="AD224" s="323">
        <f t="shared" ca="1" si="113"/>
        <v>121.68913488188734</v>
      </c>
      <c r="AE224" s="324">
        <f t="shared" ca="1" si="92"/>
        <v>582.52064998766696</v>
      </c>
      <c r="AG224" s="306">
        <f t="shared" ca="1" si="114"/>
        <v>-19.881239386301395</v>
      </c>
      <c r="AH224" s="304">
        <f t="shared" ca="1" si="115"/>
        <v>-10.320823186871447</v>
      </c>
    </row>
    <row r="225" spans="1:34" x14ac:dyDescent="0.3">
      <c r="A225" s="347">
        <f t="shared" ca="1" si="93"/>
        <v>0.1</v>
      </c>
      <c r="B225" s="304">
        <f t="shared" ca="1" si="94"/>
        <v>4.1000000000000023</v>
      </c>
      <c r="D225" s="306">
        <f t="shared" ca="1" si="95"/>
        <v>-2.264158275024311</v>
      </c>
      <c r="E225" s="307">
        <f t="shared" ca="1" si="96"/>
        <v>-19.589133266868913</v>
      </c>
      <c r="F225" s="304">
        <f t="shared" ca="1" si="97"/>
        <v>19.719547531358611</v>
      </c>
      <c r="G225" s="306">
        <f t="shared" ca="1" si="98"/>
        <v>33.609556048477636</v>
      </c>
      <c r="H225" s="307">
        <f t="shared" ca="1" si="99"/>
        <v>144.18214131565469</v>
      </c>
      <c r="I225" s="304">
        <f t="shared" ca="1" si="100"/>
        <v>148.04760089965384</v>
      </c>
      <c r="J225" s="306">
        <f t="shared" ca="1" si="101"/>
        <v>125.06141127811023</v>
      </c>
      <c r="K225" s="307">
        <f t="shared" ca="1" si="102"/>
        <v>597.03680978556679</v>
      </c>
      <c r="L225" s="304">
        <f t="shared" ca="1" si="87"/>
        <v>609.9945154096057</v>
      </c>
      <c r="M225" s="306">
        <f t="shared" ca="1" si="103"/>
        <v>1.3417810929266629</v>
      </c>
      <c r="N225" s="304">
        <f t="shared" ca="1" si="104"/>
        <v>76.878393655148699</v>
      </c>
      <c r="P225" s="310">
        <f t="shared" ca="1" si="105"/>
        <v>23</v>
      </c>
      <c r="Q225" s="304">
        <f t="shared" ca="1" si="106"/>
        <v>0</v>
      </c>
      <c r="R225" s="306">
        <f t="shared" ca="1" si="107"/>
        <v>0</v>
      </c>
      <c r="S225" s="307">
        <f t="shared" ca="1" si="108"/>
        <v>8.0499999999999989</v>
      </c>
      <c r="T225" s="304">
        <f t="shared" ca="1" si="88"/>
        <v>78.970499999999987</v>
      </c>
      <c r="U225" s="311">
        <f t="shared" ca="1" si="89"/>
        <v>0</v>
      </c>
      <c r="V225" s="306">
        <f t="shared" ca="1" si="90"/>
        <v>1.1539829795672503</v>
      </c>
      <c r="W225" s="304">
        <f t="shared" ca="1" si="91"/>
        <v>78.593103403347541</v>
      </c>
      <c r="Y225" s="314" t="str">
        <f t="shared" ca="1" si="109"/>
        <v/>
      </c>
      <c r="Z225" s="315" t="str">
        <f t="shared" ca="1" si="110"/>
        <v/>
      </c>
      <c r="AA225" s="316" t="str">
        <f t="shared" ca="1" si="111"/>
        <v/>
      </c>
      <c r="AC225" s="310" t="e">
        <f t="shared" ca="1" si="112"/>
        <v>#N/A</v>
      </c>
      <c r="AD225" s="323" t="e">
        <f t="shared" ca="1" si="113"/>
        <v>#N/A</v>
      </c>
      <c r="AE225" s="324">
        <f t="shared" ca="1" si="92"/>
        <v>597.03680978556679</v>
      </c>
      <c r="AG225" s="306">
        <f t="shared" ca="1" si="114"/>
        <v>-19.595004534218646</v>
      </c>
      <c r="AH225" s="304">
        <f t="shared" ca="1" si="115"/>
        <v>-10.037821484044398</v>
      </c>
    </row>
    <row r="226" spans="1:34" x14ac:dyDescent="0.3">
      <c r="A226" s="347">
        <f t="shared" ca="1" si="93"/>
        <v>0.1</v>
      </c>
      <c r="B226" s="304">
        <f t="shared" ca="1" si="94"/>
        <v>4.200000000000002</v>
      </c>
      <c r="D226" s="306">
        <f t="shared" ca="1" si="95"/>
        <v>-2.2164092782437992</v>
      </c>
      <c r="E226" s="307">
        <f t="shared" ca="1" si="96"/>
        <v>-19.318207585608693</v>
      </c>
      <c r="F226" s="304">
        <f t="shared" ca="1" si="97"/>
        <v>19.444938015055602</v>
      </c>
      <c r="G226" s="306">
        <f t="shared" ca="1" si="98"/>
        <v>33.387915120653254</v>
      </c>
      <c r="H226" s="307">
        <f t="shared" ca="1" si="99"/>
        <v>142.25032055709383</v>
      </c>
      <c r="I226" s="304">
        <f t="shared" ca="1" si="100"/>
        <v>146.11607226687931</v>
      </c>
      <c r="J226" s="306">
        <f t="shared" ca="1" si="101"/>
        <v>128.41128483656678</v>
      </c>
      <c r="K226" s="307">
        <f t="shared" ca="1" si="102"/>
        <v>611.3584328792042</v>
      </c>
      <c r="L226" s="304">
        <f t="shared" ca="1" si="87"/>
        <v>624.69880064387382</v>
      </c>
      <c r="M226" s="306">
        <f t="shared" ca="1" si="103"/>
        <v>1.3402569258092412</v>
      </c>
      <c r="N226" s="304">
        <f t="shared" ca="1" si="104"/>
        <v>76.79106531204782</v>
      </c>
      <c r="P226" s="310">
        <f t="shared" ca="1" si="105"/>
        <v>23</v>
      </c>
      <c r="Q226" s="304">
        <f t="shared" ca="1" si="106"/>
        <v>0</v>
      </c>
      <c r="R226" s="306">
        <f t="shared" ca="1" si="107"/>
        <v>0</v>
      </c>
      <c r="S226" s="307">
        <f t="shared" ca="1" si="108"/>
        <v>8.0499999999999989</v>
      </c>
      <c r="T226" s="304">
        <f t="shared" ca="1" si="88"/>
        <v>78.970499999999987</v>
      </c>
      <c r="U226" s="311">
        <f t="shared" ca="1" si="89"/>
        <v>0</v>
      </c>
      <c r="V226" s="306">
        <f t="shared" ca="1" si="90"/>
        <v>1.1523299639404301</v>
      </c>
      <c r="W226" s="304">
        <f t="shared" ca="1" si="91"/>
        <v>76.446062382820443</v>
      </c>
      <c r="Y226" s="314" t="str">
        <f t="shared" ca="1" si="109"/>
        <v/>
      </c>
      <c r="Z226" s="315" t="str">
        <f t="shared" ca="1" si="110"/>
        <v/>
      </c>
      <c r="AA226" s="316" t="str">
        <f t="shared" ca="1" si="111"/>
        <v/>
      </c>
      <c r="AC226" s="310" t="e">
        <f t="shared" ca="1" si="112"/>
        <v>#N/A</v>
      </c>
      <c r="AD226" s="323" t="e">
        <f t="shared" ca="1" si="113"/>
        <v>#N/A</v>
      </c>
      <c r="AE226" s="324">
        <f t="shared" ca="1" si="92"/>
        <v>611.3584328792042</v>
      </c>
      <c r="AG226" s="306">
        <f t="shared" ca="1" si="114"/>
        <v>-19.316983527988889</v>
      </c>
      <c r="AH226" s="304">
        <f t="shared" ca="1" si="115"/>
        <v>-9.7631184351984537</v>
      </c>
    </row>
    <row r="227" spans="1:34" x14ac:dyDescent="0.3">
      <c r="A227" s="347">
        <f t="shared" ca="1" si="93"/>
        <v>0.1</v>
      </c>
      <c r="B227" s="304">
        <f t="shared" ca="1" si="94"/>
        <v>4.3000000000000016</v>
      </c>
      <c r="D227" s="306">
        <f t="shared" ca="1" si="95"/>
        <v>-2.1699541194773366</v>
      </c>
      <c r="E227" s="307">
        <f t="shared" ca="1" si="96"/>
        <v>-19.055161549452212</v>
      </c>
      <c r="F227" s="304">
        <f t="shared" ca="1" si="97"/>
        <v>19.178318032516792</v>
      </c>
      <c r="G227" s="306">
        <f t="shared" ca="1" si="98"/>
        <v>33.170919708705519</v>
      </c>
      <c r="H227" s="307">
        <f t="shared" ca="1" si="99"/>
        <v>140.34480440214861</v>
      </c>
      <c r="I227" s="304">
        <f t="shared" ca="1" si="100"/>
        <v>144.21155999779887</v>
      </c>
      <c r="J227" s="306">
        <f t="shared" ca="1" si="101"/>
        <v>131.73922657803473</v>
      </c>
      <c r="K227" s="307">
        <f t="shared" ca="1" si="102"/>
        <v>625.48818912716638</v>
      </c>
      <c r="L227" s="304">
        <f t="shared" ca="1" si="87"/>
        <v>639.21099689927166</v>
      </c>
      <c r="M227" s="306">
        <f t="shared" ca="1" si="103"/>
        <v>1.3387025342876744</v>
      </c>
      <c r="N227" s="304">
        <f t="shared" ca="1" si="104"/>
        <v>76.702005238151116</v>
      </c>
      <c r="P227" s="310">
        <f t="shared" ca="1" si="105"/>
        <v>23</v>
      </c>
      <c r="Q227" s="304">
        <f t="shared" ca="1" si="106"/>
        <v>0</v>
      </c>
      <c r="R227" s="306">
        <f t="shared" ca="1" si="107"/>
        <v>0</v>
      </c>
      <c r="S227" s="307">
        <f t="shared" ca="1" si="108"/>
        <v>8.0499999999999989</v>
      </c>
      <c r="T227" s="304">
        <f t="shared" ca="1" si="88"/>
        <v>78.970499999999987</v>
      </c>
      <c r="U227" s="311">
        <f t="shared" ca="1" si="89"/>
        <v>0</v>
      </c>
      <c r="V227" s="306">
        <f t="shared" ca="1" si="90"/>
        <v>1.1507013434392603</v>
      </c>
      <c r="W227" s="304">
        <f t="shared" ca="1" si="91"/>
        <v>74.3609717297023</v>
      </c>
      <c r="Y227" s="314" t="str">
        <f t="shared" ca="1" si="109"/>
        <v/>
      </c>
      <c r="Z227" s="315" t="str">
        <f t="shared" ca="1" si="110"/>
        <v/>
      </c>
      <c r="AA227" s="316" t="str">
        <f t="shared" ca="1" si="111"/>
        <v/>
      </c>
      <c r="AC227" s="310" t="e">
        <f t="shared" ca="1" si="112"/>
        <v>#N/A</v>
      </c>
      <c r="AD227" s="323" t="e">
        <f t="shared" ca="1" si="113"/>
        <v>#N/A</v>
      </c>
      <c r="AE227" s="324">
        <f t="shared" ca="1" si="92"/>
        <v>625.48818912716638</v>
      </c>
      <c r="AG227" s="306">
        <f t="shared" ca="1" si="114"/>
        <v>-19.046864862000895</v>
      </c>
      <c r="AH227" s="304">
        <f t="shared" ca="1" si="115"/>
        <v>-9.4964052649466399</v>
      </c>
    </row>
    <row r="228" spans="1:34" x14ac:dyDescent="0.3">
      <c r="A228" s="347">
        <f t="shared" ca="1" si="93"/>
        <v>0.1</v>
      </c>
      <c r="B228" s="304">
        <f t="shared" ca="1" si="94"/>
        <v>4.4000000000000012</v>
      </c>
      <c r="D228" s="306">
        <f t="shared" ca="1" si="95"/>
        <v>-2.1247440135048081</v>
      </c>
      <c r="E228" s="307">
        <f t="shared" ca="1" si="96"/>
        <v>-18.799705006632916</v>
      </c>
      <c r="F228" s="304">
        <f t="shared" ca="1" si="97"/>
        <v>18.91939336922152</v>
      </c>
      <c r="G228" s="306">
        <f t="shared" ca="1" si="98"/>
        <v>32.958445307355035</v>
      </c>
      <c r="H228" s="307">
        <f t="shared" ca="1" si="99"/>
        <v>138.46483390148532</v>
      </c>
      <c r="I228" s="304">
        <f t="shared" ca="1" si="100"/>
        <v>142.33330370803534</v>
      </c>
      <c r="J228" s="306">
        <f t="shared" ca="1" si="101"/>
        <v>135.04569482883775</v>
      </c>
      <c r="K228" s="307">
        <f t="shared" ca="1" si="102"/>
        <v>639.42867104234813</v>
      </c>
      <c r="L228" s="304">
        <f t="shared" ca="1" si="87"/>
        <v>653.53375203028884</v>
      </c>
      <c r="M228" s="306">
        <f t="shared" ca="1" si="103"/>
        <v>1.3371172027560638</v>
      </c>
      <c r="N228" s="304">
        <f t="shared" ca="1" si="104"/>
        <v>76.61117243226083</v>
      </c>
      <c r="P228" s="310">
        <f t="shared" ca="1" si="105"/>
        <v>23</v>
      </c>
      <c r="Q228" s="304">
        <f t="shared" ca="1" si="106"/>
        <v>0</v>
      </c>
      <c r="R228" s="306">
        <f t="shared" ca="1" si="107"/>
        <v>0</v>
      </c>
      <c r="S228" s="307">
        <f t="shared" ca="1" si="108"/>
        <v>8.0499999999999989</v>
      </c>
      <c r="T228" s="304">
        <f t="shared" ca="1" si="88"/>
        <v>78.970499999999987</v>
      </c>
      <c r="U228" s="311">
        <f t="shared" ca="1" si="89"/>
        <v>0</v>
      </c>
      <c r="V228" s="306">
        <f t="shared" ca="1" si="90"/>
        <v>1.1490967243317287</v>
      </c>
      <c r="W228" s="304">
        <f t="shared" ca="1" si="91"/>
        <v>72.335574169660248</v>
      </c>
      <c r="Y228" s="314" t="str">
        <f t="shared" ca="1" si="109"/>
        <v/>
      </c>
      <c r="Z228" s="315" t="str">
        <f t="shared" ca="1" si="110"/>
        <v/>
      </c>
      <c r="AA228" s="316" t="str">
        <f t="shared" ca="1" si="111"/>
        <v/>
      </c>
      <c r="AC228" s="310" t="e">
        <f t="shared" ca="1" si="112"/>
        <v>#N/A</v>
      </c>
      <c r="AD228" s="323" t="e">
        <f t="shared" ca="1" si="113"/>
        <v>#N/A</v>
      </c>
      <c r="AE228" s="324">
        <f t="shared" ca="1" si="92"/>
        <v>639.42867104234813</v>
      </c>
      <c r="AG228" s="306">
        <f t="shared" ca="1" si="114"/>
        <v>-18.784351511687817</v>
      </c>
      <c r="AH228" s="304">
        <f t="shared" ca="1" si="115"/>
        <v>-9.2373877925096028</v>
      </c>
    </row>
    <row r="229" spans="1:34" x14ac:dyDescent="0.3">
      <c r="A229" s="347">
        <f t="shared" ca="1" si="93"/>
        <v>0.1</v>
      </c>
      <c r="B229" s="304">
        <f t="shared" ca="1" si="94"/>
        <v>4.5000000000000009</v>
      </c>
      <c r="D229" s="306">
        <f t="shared" ca="1" si="95"/>
        <v>-2.0807324490676282</v>
      </c>
      <c r="E229" s="307">
        <f t="shared" ca="1" si="96"/>
        <v>-18.551561389404661</v>
      </c>
      <c r="F229" s="304">
        <f t="shared" ca="1" si="97"/>
        <v>18.667883584098458</v>
      </c>
      <c r="G229" s="306">
        <f t="shared" ca="1" si="98"/>
        <v>32.750372062448271</v>
      </c>
      <c r="H229" s="307">
        <f t="shared" ca="1" si="99"/>
        <v>136.60967776254486</v>
      </c>
      <c r="I229" s="304">
        <f t="shared" ca="1" si="100"/>
        <v>140.48057135638058</v>
      </c>
      <c r="J229" s="306">
        <f t="shared" ca="1" si="101"/>
        <v>138.33113569732791</v>
      </c>
      <c r="K229" s="307">
        <f t="shared" ca="1" si="102"/>
        <v>653.18239662554959</v>
      </c>
      <c r="L229" s="304">
        <f t="shared" ca="1" si="87"/>
        <v>667.66963864235231</v>
      </c>
      <c r="M229" s="306">
        <f t="shared" ca="1" si="103"/>
        <v>1.3355001912168798</v>
      </c>
      <c r="N229" s="304">
        <f t="shared" ca="1" si="104"/>
        <v>76.518524495641628</v>
      </c>
      <c r="P229" s="310">
        <f t="shared" ca="1" si="105"/>
        <v>23</v>
      </c>
      <c r="Q229" s="304">
        <f t="shared" ca="1" si="106"/>
        <v>0</v>
      </c>
      <c r="R229" s="306">
        <f t="shared" ca="1" si="107"/>
        <v>0</v>
      </c>
      <c r="S229" s="307">
        <f t="shared" ca="1" si="108"/>
        <v>8.0499999999999989</v>
      </c>
      <c r="T229" s="304">
        <f t="shared" ca="1" si="88"/>
        <v>78.970499999999987</v>
      </c>
      <c r="U229" s="311">
        <f t="shared" ca="1" si="89"/>
        <v>0</v>
      </c>
      <c r="V229" s="306">
        <f t="shared" ca="1" si="90"/>
        <v>1.1475157246471583</v>
      </c>
      <c r="W229" s="304">
        <f t="shared" ca="1" si="91"/>
        <v>70.367717135372303</v>
      </c>
      <c r="Y229" s="314" t="str">
        <f t="shared" ca="1" si="109"/>
        <v/>
      </c>
      <c r="Z229" s="315" t="str">
        <f t="shared" ca="1" si="110"/>
        <v/>
      </c>
      <c r="AA229" s="316" t="str">
        <f t="shared" ca="1" si="111"/>
        <v/>
      </c>
      <c r="AC229" s="310" t="e">
        <f t="shared" ca="1" si="112"/>
        <v>#N/A</v>
      </c>
      <c r="AD229" s="323" t="e">
        <f t="shared" ca="1" si="113"/>
        <v>#N/A</v>
      </c>
      <c r="AE229" s="324">
        <f t="shared" ca="1" si="92"/>
        <v>653.18239662554959</v>
      </c>
      <c r="AG229" s="306">
        <f t="shared" ca="1" si="114"/>
        <v>-18.529160107383007</v>
      </c>
      <c r="AH229" s="304">
        <f t="shared" ca="1" si="115"/>
        <v>-8.9857856111379206</v>
      </c>
    </row>
    <row r="230" spans="1:34" x14ac:dyDescent="0.3">
      <c r="A230" s="347">
        <f t="shared" ca="1" si="93"/>
        <v>0.1</v>
      </c>
      <c r="B230" s="304">
        <f t="shared" ca="1" si="94"/>
        <v>4.6000000000000005</v>
      </c>
      <c r="D230" s="306">
        <f t="shared" ca="1" si="95"/>
        <v>-2.0378750621892259</v>
      </c>
      <c r="E230" s="307">
        <f t="shared" ca="1" si="96"/>
        <v>-18.310466957601484</v>
      </c>
      <c r="F230" s="304">
        <f t="shared" ca="1" si="97"/>
        <v>18.423521242545043</v>
      </c>
      <c r="G230" s="306">
        <f t="shared" ca="1" si="98"/>
        <v>32.546584556229348</v>
      </c>
      <c r="H230" s="307">
        <f t="shared" ca="1" si="99"/>
        <v>134.77863106678473</v>
      </c>
      <c r="I230" s="304">
        <f t="shared" ca="1" si="100"/>
        <v>138.65265795689695</v>
      </c>
      <c r="J230" s="306">
        <f t="shared" ca="1" si="101"/>
        <v>141.5959835282618</v>
      </c>
      <c r="K230" s="307">
        <f t="shared" ca="1" si="102"/>
        <v>666.75181206701609</v>
      </c>
      <c r="L230" s="304">
        <f t="shared" ca="1" si="87"/>
        <v>681.6211568356614</v>
      </c>
      <c r="M230" s="306">
        <f t="shared" ca="1" si="103"/>
        <v>1.3338507342932722</v>
      </c>
      <c r="N230" s="304">
        <f t="shared" ca="1" si="104"/>
        <v>76.42401757543027</v>
      </c>
      <c r="P230" s="310">
        <f t="shared" ca="1" si="105"/>
        <v>23</v>
      </c>
      <c r="Q230" s="304">
        <f t="shared" ca="1" si="106"/>
        <v>0</v>
      </c>
      <c r="R230" s="306">
        <f t="shared" ca="1" si="107"/>
        <v>0</v>
      </c>
      <c r="S230" s="307">
        <f t="shared" ca="1" si="108"/>
        <v>8.0499999999999989</v>
      </c>
      <c r="T230" s="304">
        <f t="shared" ca="1" si="88"/>
        <v>78.970499999999987</v>
      </c>
      <c r="U230" s="311">
        <f t="shared" ca="1" si="89"/>
        <v>0</v>
      </c>
      <c r="V230" s="306">
        <f t="shared" ca="1" si="90"/>
        <v>1.1459579737339087</v>
      </c>
      <c r="W230" s="304">
        <f t="shared" ca="1" si="91"/>
        <v>68.455346992283395</v>
      </c>
      <c r="Y230" s="314" t="str">
        <f t="shared" ca="1" si="109"/>
        <v/>
      </c>
      <c r="Z230" s="315" t="str">
        <f t="shared" ca="1" si="110"/>
        <v/>
      </c>
      <c r="AA230" s="316" t="str">
        <f t="shared" ca="1" si="111"/>
        <v/>
      </c>
      <c r="AC230" s="310" t="e">
        <f t="shared" ca="1" si="112"/>
        <v>#N/A</v>
      </c>
      <c r="AD230" s="323" t="e">
        <f t="shared" ca="1" si="113"/>
        <v>#N/A</v>
      </c>
      <c r="AE230" s="324">
        <f t="shared" ca="1" si="92"/>
        <v>666.75181206701609</v>
      </c>
      <c r="AG230" s="306">
        <f t="shared" ca="1" si="114"/>
        <v>-18.281020161486566</v>
      </c>
      <c r="AH230" s="304">
        <f t="shared" ca="1" si="115"/>
        <v>-8.741331321164262</v>
      </c>
    </row>
    <row r="231" spans="1:34" x14ac:dyDescent="0.3">
      <c r="A231" s="347">
        <f t="shared" ca="1" si="93"/>
        <v>0.1</v>
      </c>
      <c r="B231" s="304">
        <f t="shared" ca="1" si="94"/>
        <v>4.7</v>
      </c>
      <c r="D231" s="306">
        <f t="shared" ca="1" si="95"/>
        <v>-1.996129517704494</v>
      </c>
      <c r="E231" s="307">
        <f t="shared" ca="1" si="96"/>
        <v>-18.076170091163071</v>
      </c>
      <c r="F231" s="304">
        <f t="shared" ca="1" si="97"/>
        <v>18.186051199095132</v>
      </c>
      <c r="G231" s="306">
        <f t="shared" ca="1" si="98"/>
        <v>32.346971604458901</v>
      </c>
      <c r="H231" s="307">
        <f t="shared" ca="1" si="99"/>
        <v>132.97101405766841</v>
      </c>
      <c r="I231" s="304">
        <f t="shared" ca="1" si="100"/>
        <v>136.8488843633894</v>
      </c>
      <c r="J231" s="306">
        <f t="shared" ca="1" si="101"/>
        <v>144.84066133629622</v>
      </c>
      <c r="K231" s="307">
        <f t="shared" ca="1" si="102"/>
        <v>680.1392943232388</v>
      </c>
      <c r="L231" s="304">
        <f t="shared" ca="1" si="87"/>
        <v>695.39073682272249</v>
      </c>
      <c r="M231" s="306">
        <f t="shared" ca="1" si="103"/>
        <v>1.3321680401929075</v>
      </c>
      <c r="N231" s="304">
        <f t="shared" ca="1" si="104"/>
        <v>76.327606305267821</v>
      </c>
      <c r="P231" s="310">
        <f t="shared" ca="1" si="105"/>
        <v>23</v>
      </c>
      <c r="Q231" s="304">
        <f t="shared" ca="1" si="106"/>
        <v>0</v>
      </c>
      <c r="R231" s="306">
        <f t="shared" ca="1" si="107"/>
        <v>0</v>
      </c>
      <c r="S231" s="307">
        <f t="shared" ca="1" si="108"/>
        <v>8.0499999999999989</v>
      </c>
      <c r="T231" s="304">
        <f t="shared" ca="1" si="88"/>
        <v>78.970499999999987</v>
      </c>
      <c r="U231" s="311">
        <f t="shared" ca="1" si="89"/>
        <v>0</v>
      </c>
      <c r="V231" s="306">
        <f t="shared" ca="1" si="90"/>
        <v>1.1444231118380646</v>
      </c>
      <c r="W231" s="304">
        <f t="shared" ca="1" si="91"/>
        <v>66.596503634673226</v>
      </c>
      <c r="Y231" s="314" t="str">
        <f t="shared" ca="1" si="109"/>
        <v/>
      </c>
      <c r="Z231" s="315" t="str">
        <f t="shared" ca="1" si="110"/>
        <v/>
      </c>
      <c r="AA231" s="316" t="str">
        <f t="shared" ca="1" si="111"/>
        <v/>
      </c>
      <c r="AC231" s="310" t="e">
        <f t="shared" ca="1" si="112"/>
        <v>#N/A</v>
      </c>
      <c r="AD231" s="323" t="e">
        <f t="shared" ca="1" si="113"/>
        <v>#N/A</v>
      </c>
      <c r="AE231" s="324">
        <f t="shared" ca="1" si="92"/>
        <v>680.1392943232388</v>
      </c>
      <c r="AG231" s="306">
        <f t="shared" ca="1" si="114"/>
        <v>-18.03967334494255</v>
      </c>
      <c r="AH231" s="304">
        <f t="shared" ca="1" si="115"/>
        <v>-8.5037698127060128</v>
      </c>
    </row>
    <row r="232" spans="1:34" x14ac:dyDescent="0.3">
      <c r="A232" s="347">
        <f t="shared" ca="1" si="93"/>
        <v>0.1</v>
      </c>
      <c r="B232" s="304">
        <f t="shared" ca="1" si="94"/>
        <v>4.8</v>
      </c>
      <c r="D232" s="306">
        <f t="shared" ca="1" si="95"/>
        <v>-1.9554553983955456</v>
      </c>
      <c r="E232" s="307">
        <f t="shared" ca="1" si="96"/>
        <v>-17.848430628026861</v>
      </c>
      <c r="F232" s="304">
        <f t="shared" ca="1" si="97"/>
        <v>17.955229926085646</v>
      </c>
      <c r="G232" s="306">
        <f t="shared" ca="1" si="98"/>
        <v>32.151426064619343</v>
      </c>
      <c r="H232" s="307">
        <f t="shared" ca="1" si="99"/>
        <v>131.18617099486573</v>
      </c>
      <c r="I232" s="304">
        <f t="shared" ca="1" si="100"/>
        <v>135.06859612168492</v>
      </c>
      <c r="J232" s="306">
        <f t="shared" ca="1" si="101"/>
        <v>148.06558121975013</v>
      </c>
      <c r="K232" s="307">
        <f t="shared" ca="1" si="102"/>
        <v>693.34715357586549</v>
      </c>
      <c r="L232" s="304">
        <f t="shared" ca="1" si="87"/>
        <v>708.98074142651944</v>
      </c>
      <c r="M232" s="306">
        <f t="shared" ca="1" si="103"/>
        <v>1.3304512896206295</v>
      </c>
      <c r="N232" s="304">
        <f t="shared" ca="1" si="104"/>
        <v>76.229243742999628</v>
      </c>
      <c r="P232" s="310">
        <f t="shared" ca="1" si="105"/>
        <v>23</v>
      </c>
      <c r="Q232" s="304">
        <f t="shared" ca="1" si="106"/>
        <v>0</v>
      </c>
      <c r="R232" s="306">
        <f t="shared" ca="1" si="107"/>
        <v>0</v>
      </c>
      <c r="S232" s="307">
        <f t="shared" ca="1" si="108"/>
        <v>8.0499999999999989</v>
      </c>
      <c r="T232" s="304">
        <f t="shared" ca="1" si="88"/>
        <v>78.970499999999987</v>
      </c>
      <c r="U232" s="311">
        <f t="shared" ca="1" si="89"/>
        <v>0</v>
      </c>
      <c r="V232" s="306">
        <f t="shared" ca="1" si="90"/>
        <v>1.1429107897019295</v>
      </c>
      <c r="W232" s="304">
        <f t="shared" ca="1" si="91"/>
        <v>64.789315425072061</v>
      </c>
      <c r="Y232" s="314" t="str">
        <f t="shared" ca="1" si="109"/>
        <v/>
      </c>
      <c r="Z232" s="315" t="str">
        <f t="shared" ca="1" si="110"/>
        <v/>
      </c>
      <c r="AA232" s="316" t="str">
        <f t="shared" ca="1" si="111"/>
        <v/>
      </c>
      <c r="AC232" s="310" t="e">
        <f t="shared" ca="1" si="112"/>
        <v>#N/A</v>
      </c>
      <c r="AD232" s="323" t="e">
        <f t="shared" ca="1" si="113"/>
        <v>#N/A</v>
      </c>
      <c r="AE232" s="324">
        <f t="shared" ca="1" si="92"/>
        <v>693.34715357586549</v>
      </c>
      <c r="AG232" s="306">
        <f t="shared" ca="1" si="114"/>
        <v>-17.804872809355636</v>
      </c>
      <c r="AH232" s="304">
        <f t="shared" ca="1" si="115"/>
        <v>-8.2728575943693468</v>
      </c>
    </row>
    <row r="233" spans="1:34" x14ac:dyDescent="0.3">
      <c r="A233" s="347">
        <f t="shared" ca="1" si="93"/>
        <v>0.1</v>
      </c>
      <c r="B233" s="304">
        <f t="shared" ca="1" si="94"/>
        <v>4.8999999999999995</v>
      </c>
      <c r="D233" s="306">
        <f t="shared" ca="1" si="95"/>
        <v>-1.9158141011805514</v>
      </c>
      <c r="E233" s="307">
        <f t="shared" ca="1" si="96"/>
        <v>-17.627019244083176</v>
      </c>
      <c r="F233" s="304">
        <f t="shared" ca="1" si="97"/>
        <v>17.730824884972524</v>
      </c>
      <c r="G233" s="306">
        <f t="shared" ca="1" si="98"/>
        <v>31.959844654501289</v>
      </c>
      <c r="H233" s="307">
        <f t="shared" ca="1" si="99"/>
        <v>129.42346907045743</v>
      </c>
      <c r="I233" s="304">
        <f t="shared" ca="1" si="100"/>
        <v>133.31116238549382</v>
      </c>
      <c r="J233" s="306">
        <f t="shared" ca="1" si="101"/>
        <v>151.27114475570616</v>
      </c>
      <c r="K233" s="307">
        <f t="shared" ca="1" si="102"/>
        <v>706.37763557913161</v>
      </c>
      <c r="L233" s="304">
        <f t="shared" ca="1" si="87"/>
        <v>722.39346846581213</v>
      </c>
      <c r="M233" s="306">
        <f t="shared" ca="1" si="103"/>
        <v>1.3286996346370663</v>
      </c>
      <c r="N233" s="304">
        <f t="shared" ca="1" si="104"/>
        <v>76.128881305278398</v>
      </c>
      <c r="P233" s="310">
        <f t="shared" ca="1" si="105"/>
        <v>23</v>
      </c>
      <c r="Q233" s="304">
        <f t="shared" ca="1" si="106"/>
        <v>0</v>
      </c>
      <c r="R233" s="306">
        <f t="shared" ca="1" si="107"/>
        <v>0</v>
      </c>
      <c r="S233" s="307">
        <f t="shared" ca="1" si="108"/>
        <v>8.0499999999999989</v>
      </c>
      <c r="T233" s="304">
        <f t="shared" ca="1" si="88"/>
        <v>78.970499999999987</v>
      </c>
      <c r="U233" s="311">
        <f t="shared" ca="1" si="89"/>
        <v>0</v>
      </c>
      <c r="V233" s="306">
        <f t="shared" ca="1" si="90"/>
        <v>1.141420668181228</v>
      </c>
      <c r="W233" s="304">
        <f t="shared" ca="1" si="91"/>
        <v>63.031994452256633</v>
      </c>
      <c r="Y233" s="314" t="str">
        <f t="shared" ca="1" si="109"/>
        <v/>
      </c>
      <c r="Z233" s="315" t="str">
        <f t="shared" ca="1" si="110"/>
        <v/>
      </c>
      <c r="AA233" s="316" t="str">
        <f t="shared" ca="1" si="111"/>
        <v/>
      </c>
      <c r="AC233" s="310" t="e">
        <f t="shared" ca="1" si="112"/>
        <v>#N/A</v>
      </c>
      <c r="AD233" s="323" t="e">
        <f t="shared" ca="1" si="113"/>
        <v>#N/A</v>
      </c>
      <c r="AE233" s="324">
        <f t="shared" ca="1" si="92"/>
        <v>706.37763557913161</v>
      </c>
      <c r="AG233" s="306">
        <f t="shared" ca="1" si="114"/>
        <v>-17.576382551373861</v>
      </c>
      <c r="AH233" s="304">
        <f t="shared" ca="1" si="115"/>
        <v>-8.0483621646052264</v>
      </c>
    </row>
    <row r="234" spans="1:34" x14ac:dyDescent="0.3">
      <c r="A234" s="347">
        <f t="shared" ca="1" si="93"/>
        <v>0.1</v>
      </c>
      <c r="B234" s="304">
        <f t="shared" ca="1" si="94"/>
        <v>4.9999999999999991</v>
      </c>
      <c r="D234" s="306">
        <f t="shared" ca="1" si="95"/>
        <v>-1.8771687398475991</v>
      </c>
      <c r="E234" s="307">
        <f t="shared" ca="1" si="96"/>
        <v>-17.41171687215876</v>
      </c>
      <c r="F234" s="304">
        <f t="shared" ca="1" si="97"/>
        <v>17.512613937219051</v>
      </c>
      <c r="G234" s="306">
        <f t="shared" ca="1" si="98"/>
        <v>31.772127780516531</v>
      </c>
      <c r="H234" s="307">
        <f t="shared" ca="1" si="99"/>
        <v>127.68229738324155</v>
      </c>
      <c r="I234" s="304">
        <f t="shared" ca="1" si="100"/>
        <v>131.57597489193839</v>
      </c>
      <c r="J234" s="306">
        <f t="shared" ca="1" si="101"/>
        <v>154.45774337745706</v>
      </c>
      <c r="K234" s="307">
        <f t="shared" ca="1" si="102"/>
        <v>719.23292390181655</v>
      </c>
      <c r="L234" s="304">
        <f t="shared" ca="1" si="87"/>
        <v>735.6311530336468</v>
      </c>
      <c r="M234" s="306">
        <f t="shared" ca="1" si="103"/>
        <v>1.3269121974601279</v>
      </c>
      <c r="N234" s="304">
        <f t="shared" ca="1" si="104"/>
        <v>76.026468698895044</v>
      </c>
      <c r="P234" s="310">
        <f t="shared" ca="1" si="105"/>
        <v>23</v>
      </c>
      <c r="Q234" s="304">
        <f t="shared" ca="1" si="106"/>
        <v>0</v>
      </c>
      <c r="R234" s="306">
        <f t="shared" ca="1" si="107"/>
        <v>0</v>
      </c>
      <c r="S234" s="307">
        <f t="shared" ca="1" si="108"/>
        <v>8.0499999999999989</v>
      </c>
      <c r="T234" s="304">
        <f t="shared" ca="1" si="88"/>
        <v>78.970499999999987</v>
      </c>
      <c r="U234" s="311">
        <f t="shared" ca="1" si="89"/>
        <v>0</v>
      </c>
      <c r="V234" s="306">
        <f t="shared" ca="1" si="90"/>
        <v>1.1399524178799756</v>
      </c>
      <c r="W234" s="304">
        <f t="shared" ca="1" si="91"/>
        <v>61.322832085054984</v>
      </c>
      <c r="Y234" s="314" t="str">
        <f t="shared" ca="1" si="109"/>
        <v/>
      </c>
      <c r="Z234" s="315" t="str">
        <f t="shared" ca="1" si="110"/>
        <v/>
      </c>
      <c r="AA234" s="316" t="str">
        <f t="shared" ca="1" si="111"/>
        <v/>
      </c>
      <c r="AC234" s="310">
        <f t="shared" ca="1" si="112"/>
        <v>4.9999999999999991</v>
      </c>
      <c r="AD234" s="323">
        <f t="shared" ca="1" si="113"/>
        <v>154.45774337745706</v>
      </c>
      <c r="AE234" s="324">
        <f t="shared" ca="1" si="92"/>
        <v>719.23292390181655</v>
      </c>
      <c r="AG234" s="306">
        <f t="shared" ca="1" si="114"/>
        <v>-17.353976816235125</v>
      </c>
      <c r="AH234" s="304">
        <f t="shared" ca="1" si="115"/>
        <v>-7.8300614226405765</v>
      </c>
    </row>
    <row r="235" spans="1:34" x14ac:dyDescent="0.3">
      <c r="A235" s="347">
        <f t="shared" ca="1" si="93"/>
        <v>0.1</v>
      </c>
      <c r="B235" s="304">
        <f t="shared" ca="1" si="94"/>
        <v>5.0999999999999988</v>
      </c>
      <c r="D235" s="306">
        <f t="shared" ca="1" si="95"/>
        <v>-1.8394840538664685</v>
      </c>
      <c r="E235" s="307">
        <f t="shared" ca="1" si="96"/>
        <v>-17.202314157238693</v>
      </c>
      <c r="F235" s="304">
        <f t="shared" ca="1" si="97"/>
        <v>17.300384791927716</v>
      </c>
      <c r="G235" s="306">
        <f t="shared" ca="1" si="98"/>
        <v>31.588179375129883</v>
      </c>
      <c r="H235" s="307">
        <f t="shared" ca="1" si="99"/>
        <v>125.96206596751767</v>
      </c>
      <c r="I235" s="304">
        <f t="shared" ca="1" si="100"/>
        <v>129.86244699311905</v>
      </c>
      <c r="J235" s="306">
        <f t="shared" ca="1" si="101"/>
        <v>157.62575873523937</v>
      </c>
      <c r="K235" s="307">
        <f t="shared" ca="1" si="102"/>
        <v>731.91514206935449</v>
      </c>
      <c r="L235" s="304">
        <f t="shared" ca="1" si="87"/>
        <v>748.69596967478276</v>
      </c>
      <c r="M235" s="306">
        <f t="shared" ca="1" si="103"/>
        <v>1.3250880692061417</v>
      </c>
      <c r="N235" s="304">
        <f t="shared" ca="1" si="104"/>
        <v>75.921953848651071</v>
      </c>
      <c r="P235" s="310">
        <f t="shared" ca="1" si="105"/>
        <v>23</v>
      </c>
      <c r="Q235" s="304">
        <f t="shared" ca="1" si="106"/>
        <v>0</v>
      </c>
      <c r="R235" s="306">
        <f t="shared" ca="1" si="107"/>
        <v>0</v>
      </c>
      <c r="S235" s="307">
        <f t="shared" ca="1" si="108"/>
        <v>8.0499999999999989</v>
      </c>
      <c r="T235" s="304">
        <f t="shared" ca="1" si="88"/>
        <v>78.970499999999987</v>
      </c>
      <c r="U235" s="311">
        <f t="shared" ca="1" si="89"/>
        <v>0</v>
      </c>
      <c r="V235" s="306">
        <f t="shared" ca="1" si="90"/>
        <v>1.1385057188020626</v>
      </c>
      <c r="W235" s="304">
        <f t="shared" ca="1" si="91"/>
        <v>59.660194801008956</v>
      </c>
      <c r="Y235" s="314" t="str">
        <f t="shared" ca="1" si="109"/>
        <v/>
      </c>
      <c r="Z235" s="315" t="str">
        <f t="shared" ca="1" si="110"/>
        <v/>
      </c>
      <c r="AA235" s="316" t="str">
        <f t="shared" ca="1" si="111"/>
        <v/>
      </c>
      <c r="AC235" s="310" t="e">
        <f t="shared" ca="1" si="112"/>
        <v>#N/A</v>
      </c>
      <c r="AD235" s="323" t="e">
        <f t="shared" ca="1" si="113"/>
        <v>#N/A</v>
      </c>
      <c r="AE235" s="324">
        <f t="shared" ca="1" si="92"/>
        <v>731.91514206935449</v>
      </c>
      <c r="AG235" s="306">
        <f t="shared" ca="1" si="114"/>
        <v>-17.137439537621241</v>
      </c>
      <c r="AH235" s="304">
        <f t="shared" ca="1" si="115"/>
        <v>-7.6177431161558999</v>
      </c>
    </row>
    <row r="236" spans="1:34" x14ac:dyDescent="0.3">
      <c r="A236" s="347">
        <f t="shared" ca="1" si="93"/>
        <v>0.1</v>
      </c>
      <c r="B236" s="304">
        <f t="shared" ca="1" si="94"/>
        <v>5.1999999999999984</v>
      </c>
      <c r="D236" s="306">
        <f t="shared" ca="1" si="95"/>
        <v>-1.8027263228486448</v>
      </c>
      <c r="E236" s="307">
        <f t="shared" ca="1" si="96"/>
        <v>-16.998610945359619</v>
      </c>
      <c r="F236" s="304">
        <f t="shared" ca="1" si="97"/>
        <v>17.093934487612593</v>
      </c>
      <c r="G236" s="306">
        <f t="shared" ca="1" si="98"/>
        <v>31.407906742845018</v>
      </c>
      <c r="H236" s="307">
        <f t="shared" ca="1" si="99"/>
        <v>124.26220487298171</v>
      </c>
      <c r="I236" s="304">
        <f t="shared" ca="1" si="100"/>
        <v>128.17001274035252</v>
      </c>
      <c r="J236" s="306">
        <f t="shared" ca="1" si="101"/>
        <v>160.77556304113813</v>
      </c>
      <c r="K236" s="307">
        <f t="shared" ca="1" si="102"/>
        <v>744.42635561137945</v>
      </c>
      <c r="L236" s="304">
        <f t="shared" ca="1" si="87"/>
        <v>761.59003446738654</v>
      </c>
      <c r="M236" s="306">
        <f t="shared" ca="1" si="103"/>
        <v>1.3232263085671607</v>
      </c>
      <c r="N236" s="304">
        <f t="shared" ca="1" si="104"/>
        <v>75.815282821573874</v>
      </c>
      <c r="P236" s="310">
        <f t="shared" ca="1" si="105"/>
        <v>23</v>
      </c>
      <c r="Q236" s="304">
        <f t="shared" ca="1" si="106"/>
        <v>0</v>
      </c>
      <c r="R236" s="306">
        <f t="shared" ca="1" si="107"/>
        <v>0</v>
      </c>
      <c r="S236" s="307">
        <f t="shared" ca="1" si="108"/>
        <v>8.0499999999999989</v>
      </c>
      <c r="T236" s="304">
        <f t="shared" ca="1" si="88"/>
        <v>78.970499999999987</v>
      </c>
      <c r="U236" s="311">
        <f t="shared" ca="1" si="89"/>
        <v>0</v>
      </c>
      <c r="V236" s="306">
        <f t="shared" ca="1" si="90"/>
        <v>1.1370802600186374</v>
      </c>
      <c r="W236" s="304">
        <f t="shared" ca="1" si="91"/>
        <v>58.042520270602509</v>
      </c>
      <c r="Y236" s="314" t="str">
        <f t="shared" ca="1" si="109"/>
        <v/>
      </c>
      <c r="Z236" s="315" t="str">
        <f t="shared" ca="1" si="110"/>
        <v/>
      </c>
      <c r="AA236" s="316" t="str">
        <f t="shared" ca="1" si="111"/>
        <v/>
      </c>
      <c r="AC236" s="310" t="e">
        <f t="shared" ca="1" si="112"/>
        <v>#N/A</v>
      </c>
      <c r="AD236" s="323" t="e">
        <f t="shared" ca="1" si="113"/>
        <v>#N/A</v>
      </c>
      <c r="AE236" s="324">
        <f t="shared" ca="1" si="92"/>
        <v>744.42635561137945</v>
      </c>
      <c r="AG236" s="306">
        <f t="shared" ca="1" si="114"/>
        <v>-16.926563811187371</v>
      </c>
      <c r="AH236" s="304">
        <f t="shared" ca="1" si="115"/>
        <v>-7.4112043231067037</v>
      </c>
    </row>
    <row r="237" spans="1:34" x14ac:dyDescent="0.3">
      <c r="A237" s="347">
        <f t="shared" ca="1" si="93"/>
        <v>0.1</v>
      </c>
      <c r="B237" s="304">
        <f t="shared" ca="1" si="94"/>
        <v>5.299999999999998</v>
      </c>
      <c r="D237" s="306">
        <f t="shared" ca="1" si="95"/>
        <v>-1.7668632862600115</v>
      </c>
      <c r="E237" s="307">
        <f t="shared" ca="1" si="96"/>
        <v>-16.800415803810537</v>
      </c>
      <c r="F237" s="304">
        <f t="shared" ca="1" si="97"/>
        <v>16.893068905715751</v>
      </c>
      <c r="G237" s="306">
        <f t="shared" ca="1" si="98"/>
        <v>31.231220414219017</v>
      </c>
      <c r="H237" s="307">
        <f t="shared" ca="1" si="99"/>
        <v>122.58216329260065</v>
      </c>
      <c r="I237" s="304">
        <f t="shared" ca="1" si="100"/>
        <v>126.49812601795863</v>
      </c>
      <c r="J237" s="306">
        <f t="shared" ca="1" si="101"/>
        <v>163.90751939899133</v>
      </c>
      <c r="K237" s="307">
        <f t="shared" ca="1" si="102"/>
        <v>756.76857401965856</v>
      </c>
      <c r="L237" s="304">
        <f t="shared" ca="1" si="87"/>
        <v>774.315407014014</v>
      </c>
      <c r="M237" s="306">
        <f t="shared" ca="1" si="103"/>
        <v>1.3213259404207647</v>
      </c>
      <c r="N237" s="304">
        <f t="shared" ca="1" si="104"/>
        <v>75.706399747264285</v>
      </c>
      <c r="P237" s="310">
        <f t="shared" ca="1" si="105"/>
        <v>23</v>
      </c>
      <c r="Q237" s="304">
        <f t="shared" ca="1" si="106"/>
        <v>0</v>
      </c>
      <c r="R237" s="306">
        <f t="shared" ca="1" si="107"/>
        <v>0</v>
      </c>
      <c r="S237" s="307">
        <f t="shared" ca="1" si="108"/>
        <v>8.0499999999999989</v>
      </c>
      <c r="T237" s="304">
        <f t="shared" ca="1" si="88"/>
        <v>78.970499999999987</v>
      </c>
      <c r="U237" s="311">
        <f t="shared" ca="1" si="89"/>
        <v>0</v>
      </c>
      <c r="V237" s="306">
        <f t="shared" ca="1" si="90"/>
        <v>1.1356757393504482</v>
      </c>
      <c r="W237" s="304">
        <f t="shared" ca="1" si="91"/>
        <v>56.468313679277905</v>
      </c>
      <c r="Y237" s="314" t="str">
        <f t="shared" ca="1" si="109"/>
        <v/>
      </c>
      <c r="Z237" s="315" t="str">
        <f t="shared" ca="1" si="110"/>
        <v/>
      </c>
      <c r="AA237" s="316" t="str">
        <f t="shared" ca="1" si="111"/>
        <v/>
      </c>
      <c r="AC237" s="310" t="e">
        <f t="shared" ca="1" si="112"/>
        <v>#N/A</v>
      </c>
      <c r="AD237" s="323" t="e">
        <f t="shared" ca="1" si="113"/>
        <v>#N/A</v>
      </c>
      <c r="AE237" s="324">
        <f t="shared" ca="1" si="92"/>
        <v>756.76857401965856</v>
      </c>
      <c r="AG237" s="306">
        <f t="shared" ca="1" si="114"/>
        <v>-16.721151399338634</v>
      </c>
      <c r="AH237" s="304">
        <f t="shared" ca="1" si="115"/>
        <v>-7.2102509652922384</v>
      </c>
    </row>
    <row r="238" spans="1:34" x14ac:dyDescent="0.3">
      <c r="A238" s="347">
        <f t="shared" ca="1" si="93"/>
        <v>0.1</v>
      </c>
      <c r="B238" s="304">
        <f t="shared" ca="1" si="94"/>
        <v>5.3999999999999977</v>
      </c>
      <c r="D238" s="306">
        <f t="shared" ca="1" si="95"/>
        <v>-1.7318640680216908</v>
      </c>
      <c r="E238" s="307">
        <f t="shared" ca="1" si="96"/>
        <v>-16.607545570462822</v>
      </c>
      <c r="F238" s="304">
        <f t="shared" ca="1" si="97"/>
        <v>16.697602313658809</v>
      </c>
      <c r="G238" s="306">
        <f t="shared" ca="1" si="98"/>
        <v>31.058034007416847</v>
      </c>
      <c r="H238" s="307">
        <f t="shared" ca="1" si="99"/>
        <v>120.92140873555437</v>
      </c>
      <c r="I238" s="304">
        <f t="shared" ca="1" si="100"/>
        <v>124.84625972369723</v>
      </c>
      <c r="J238" s="306">
        <f t="shared" ca="1" si="101"/>
        <v>167.02198212007312</v>
      </c>
      <c r="K238" s="307">
        <f t="shared" ca="1" si="102"/>
        <v>768.94375262106632</v>
      </c>
      <c r="L238" s="304">
        <f t="shared" ca="1" si="87"/>
        <v>786.87409234660004</v>
      </c>
      <c r="M238" s="306">
        <f t="shared" ca="1" si="103"/>
        <v>1.3193859543684279</v>
      </c>
      <c r="N238" s="304">
        <f t="shared" ca="1" si="104"/>
        <v>75.595246734151132</v>
      </c>
      <c r="P238" s="310">
        <f t="shared" ca="1" si="105"/>
        <v>23</v>
      </c>
      <c r="Q238" s="304">
        <f t="shared" ca="1" si="106"/>
        <v>0</v>
      </c>
      <c r="R238" s="306">
        <f t="shared" ca="1" si="107"/>
        <v>0</v>
      </c>
      <c r="S238" s="307">
        <f t="shared" ca="1" si="108"/>
        <v>8.0499999999999989</v>
      </c>
      <c r="T238" s="304">
        <f t="shared" ca="1" si="88"/>
        <v>78.970499999999987</v>
      </c>
      <c r="U238" s="311">
        <f t="shared" ca="1" si="89"/>
        <v>0</v>
      </c>
      <c r="V238" s="306">
        <f t="shared" ca="1" si="90"/>
        <v>1.1342918630643475</v>
      </c>
      <c r="W238" s="304">
        <f t="shared" ca="1" si="91"/>
        <v>54.936144270844949</v>
      </c>
      <c r="Y238" s="314" t="str">
        <f t="shared" ca="1" si="109"/>
        <v/>
      </c>
      <c r="Z238" s="315" t="str">
        <f t="shared" ca="1" si="110"/>
        <v/>
      </c>
      <c r="AA238" s="316" t="str">
        <f t="shared" ca="1" si="111"/>
        <v/>
      </c>
      <c r="AC238" s="310" t="e">
        <f t="shared" ca="1" si="112"/>
        <v>#N/A</v>
      </c>
      <c r="AD238" s="323" t="e">
        <f t="shared" ca="1" si="113"/>
        <v>#N/A</v>
      </c>
      <c r="AE238" s="324">
        <f t="shared" ca="1" si="92"/>
        <v>768.94375262106632</v>
      </c>
      <c r="AG238" s="306">
        <f t="shared" ca="1" si="114"/>
        <v>-16.521012265011237</v>
      </c>
      <c r="AH238" s="304">
        <f t="shared" ca="1" si="115"/>
        <v>-7.014697351463095</v>
      </c>
    </row>
    <row r="239" spans="1:34" x14ac:dyDescent="0.3">
      <c r="A239" s="347">
        <f t="shared" ca="1" si="93"/>
        <v>0.1</v>
      </c>
      <c r="B239" s="304">
        <f t="shared" ca="1" si="94"/>
        <v>5.4999999999999973</v>
      </c>
      <c r="D239" s="306">
        <f t="shared" ca="1" si="95"/>
        <v>-1.6976991056630155</v>
      </c>
      <c r="E239" s="307">
        <f t="shared" ca="1" si="96"/>
        <v>-16.419824930220582</v>
      </c>
      <c r="F239" s="304">
        <f t="shared" ca="1" si="97"/>
        <v>16.507356935392849</v>
      </c>
      <c r="G239" s="306">
        <f t="shared" ca="1" si="98"/>
        <v>30.888264096850545</v>
      </c>
      <c r="H239" s="307">
        <f t="shared" ca="1" si="99"/>
        <v>119.27942624253231</v>
      </c>
      <c r="I239" s="304">
        <f t="shared" ca="1" si="100"/>
        <v>123.21390499316419</v>
      </c>
      <c r="J239" s="306">
        <f t="shared" ca="1" si="101"/>
        <v>170.1192970252865</v>
      </c>
      <c r="K239" s="307">
        <f t="shared" ca="1" si="102"/>
        <v>780.95379436997064</v>
      </c>
      <c r="L239" s="304">
        <f t="shared" ca="1" si="87"/>
        <v>799.26804274988501</v>
      </c>
      <c r="M239" s="306">
        <f t="shared" ca="1" si="103"/>
        <v>1.3174053031982733</v>
      </c>
      <c r="N239" s="304">
        <f t="shared" ca="1" si="104"/>
        <v>75.481763781413633</v>
      </c>
      <c r="P239" s="310">
        <f t="shared" ca="1" si="105"/>
        <v>23</v>
      </c>
      <c r="Q239" s="304">
        <f t="shared" ca="1" si="106"/>
        <v>0</v>
      </c>
      <c r="R239" s="306">
        <f t="shared" ca="1" si="107"/>
        <v>0</v>
      </c>
      <c r="S239" s="307">
        <f t="shared" ca="1" si="108"/>
        <v>8.0499999999999989</v>
      </c>
      <c r="T239" s="304">
        <f t="shared" ca="1" si="88"/>
        <v>78.970499999999987</v>
      </c>
      <c r="U239" s="311">
        <f t="shared" ca="1" si="89"/>
        <v>0</v>
      </c>
      <c r="V239" s="306">
        <f t="shared" ca="1" si="90"/>
        <v>1.1329283455832144</v>
      </c>
      <c r="W239" s="304">
        <f t="shared" ca="1" si="91"/>
        <v>53.444642097153071</v>
      </c>
      <c r="Y239" s="314" t="str">
        <f t="shared" ca="1" si="109"/>
        <v/>
      </c>
      <c r="Z239" s="315" t="str">
        <f t="shared" ca="1" si="110"/>
        <v/>
      </c>
      <c r="AA239" s="316" t="str">
        <f t="shared" ca="1" si="111"/>
        <v/>
      </c>
      <c r="AC239" s="310" t="e">
        <f t="shared" ca="1" si="112"/>
        <v>#N/A</v>
      </c>
      <c r="AD239" s="323" t="e">
        <f t="shared" ca="1" si="113"/>
        <v>#N/A</v>
      </c>
      <c r="AE239" s="324">
        <f t="shared" ca="1" si="92"/>
        <v>780.95379436997064</v>
      </c>
      <c r="AG239" s="306">
        <f t="shared" ca="1" si="114"/>
        <v>-16.325964132384907</v>
      </c>
      <c r="AH239" s="304">
        <f t="shared" ca="1" si="115"/>
        <v>-6.8243657479310507</v>
      </c>
    </row>
    <row r="240" spans="1:34" x14ac:dyDescent="0.3">
      <c r="A240" s="347">
        <f t="shared" ca="1" si="93"/>
        <v>0.1</v>
      </c>
      <c r="B240" s="304">
        <f t="shared" ca="1" si="94"/>
        <v>5.599999999999997</v>
      </c>
      <c r="D240" s="306">
        <f t="shared" ca="1" si="95"/>
        <v>-1.6643400837165749</v>
      </c>
      <c r="E240" s="307">
        <f t="shared" ca="1" si="96"/>
        <v>-16.237086016737443</v>
      </c>
      <c r="F240" s="304">
        <f t="shared" ca="1" si="97"/>
        <v>16.322162547566922</v>
      </c>
      <c r="G240" s="306">
        <f t="shared" ca="1" si="98"/>
        <v>30.721830088478889</v>
      </c>
      <c r="H240" s="307">
        <f t="shared" ca="1" si="99"/>
        <v>117.65571764085857</v>
      </c>
      <c r="I240" s="304">
        <f t="shared" ca="1" si="100"/>
        <v>121.6005704656471</v>
      </c>
      <c r="J240" s="306">
        <f t="shared" ca="1" si="101"/>
        <v>173.19980173455298</v>
      </c>
      <c r="K240" s="307">
        <f t="shared" ca="1" si="102"/>
        <v>792.80055156414016</v>
      </c>
      <c r="L240" s="304">
        <f t="shared" ca="1" si="87"/>
        <v>811.4991595074473</v>
      </c>
      <c r="M240" s="306">
        <f t="shared" ca="1" si="103"/>
        <v>1.3153829012677618</v>
      </c>
      <c r="N240" s="304">
        <f t="shared" ca="1" si="104"/>
        <v>75.365888686316211</v>
      </c>
      <c r="P240" s="310">
        <f t="shared" ca="1" si="105"/>
        <v>23</v>
      </c>
      <c r="Q240" s="304">
        <f t="shared" ca="1" si="106"/>
        <v>0</v>
      </c>
      <c r="R240" s="306">
        <f t="shared" ca="1" si="107"/>
        <v>0</v>
      </c>
      <c r="S240" s="307">
        <f t="shared" ca="1" si="108"/>
        <v>8.0499999999999989</v>
      </c>
      <c r="T240" s="304">
        <f t="shared" ca="1" si="88"/>
        <v>78.970499999999987</v>
      </c>
      <c r="U240" s="311">
        <f t="shared" ca="1" si="89"/>
        <v>0</v>
      </c>
      <c r="V240" s="306">
        <f t="shared" ca="1" si="90"/>
        <v>1.131584909208585</v>
      </c>
      <c r="W240" s="304">
        <f t="shared" ca="1" si="91"/>
        <v>51.99249496005185</v>
      </c>
      <c r="Y240" s="314" t="str">
        <f t="shared" ca="1" si="109"/>
        <v/>
      </c>
      <c r="Z240" s="315" t="str">
        <f t="shared" ca="1" si="110"/>
        <v/>
      </c>
      <c r="AA240" s="316" t="str">
        <f t="shared" ca="1" si="111"/>
        <v/>
      </c>
      <c r="AC240" s="310" t="e">
        <f t="shared" ca="1" si="112"/>
        <v>#N/A</v>
      </c>
      <c r="AD240" s="323" t="e">
        <f t="shared" ca="1" si="113"/>
        <v>#N/A</v>
      </c>
      <c r="AE240" s="324">
        <f t="shared" ca="1" si="92"/>
        <v>792.80055156414016</v>
      </c>
      <c r="AG240" s="306">
        <f t="shared" ca="1" si="114"/>
        <v>-16.135832072607389</v>
      </c>
      <c r="AH240" s="304">
        <f t="shared" ca="1" si="115"/>
        <v>-6.6390859748016249</v>
      </c>
    </row>
    <row r="241" spans="1:34" x14ac:dyDescent="0.3">
      <c r="A241" s="347">
        <f t="shared" ca="1" si="93"/>
        <v>0.1</v>
      </c>
      <c r="B241" s="304">
        <f t="shared" ca="1" si="94"/>
        <v>5.6999999999999966</v>
      </c>
      <c r="D241" s="306">
        <f t="shared" ca="1" si="95"/>
        <v>-1.631759871069032</v>
      </c>
      <c r="E241" s="307">
        <f t="shared" ca="1" si="96"/>
        <v>-16.059168037687286</v>
      </c>
      <c r="F241" s="304">
        <f t="shared" ca="1" si="97"/>
        <v>16.141856099578764</v>
      </c>
      <c r="G241" s="306">
        <f t="shared" ca="1" si="98"/>
        <v>30.558654101371985</v>
      </c>
      <c r="H241" s="307">
        <f t="shared" ca="1" si="99"/>
        <v>116.04980083708983</v>
      </c>
      <c r="I241" s="304">
        <f t="shared" ca="1" si="100"/>
        <v>120.00578158911975</v>
      </c>
      <c r="J241" s="306">
        <f t="shared" ca="1" si="101"/>
        <v>176.26382594404552</v>
      </c>
      <c r="K241" s="307">
        <f t="shared" ca="1" si="102"/>
        <v>804.48582748803756</v>
      </c>
      <c r="L241" s="304">
        <f t="shared" ca="1" si="87"/>
        <v>823.56929457426065</v>
      </c>
      <c r="M241" s="306">
        <f t="shared" ca="1" si="103"/>
        <v>1.3133176228015693</v>
      </c>
      <c r="N241" s="304">
        <f t="shared" ca="1" si="104"/>
        <v>75.247556946684128</v>
      </c>
      <c r="P241" s="310">
        <f t="shared" ca="1" si="105"/>
        <v>23</v>
      </c>
      <c r="Q241" s="304">
        <f t="shared" ca="1" si="106"/>
        <v>0</v>
      </c>
      <c r="R241" s="306">
        <f t="shared" ca="1" si="107"/>
        <v>0</v>
      </c>
      <c r="S241" s="307">
        <f t="shared" ca="1" si="108"/>
        <v>8.0499999999999989</v>
      </c>
      <c r="T241" s="304">
        <f t="shared" ca="1" si="88"/>
        <v>78.970499999999987</v>
      </c>
      <c r="U241" s="311">
        <f t="shared" ca="1" si="89"/>
        <v>0</v>
      </c>
      <c r="V241" s="306">
        <f t="shared" ca="1" si="90"/>
        <v>1.1302612838553543</v>
      </c>
      <c r="W241" s="304">
        <f t="shared" ca="1" si="91"/>
        <v>50.578445532726271</v>
      </c>
      <c r="Y241" s="314" t="str">
        <f t="shared" ca="1" si="109"/>
        <v/>
      </c>
      <c r="Z241" s="315" t="str">
        <f t="shared" ca="1" si="110"/>
        <v/>
      </c>
      <c r="AA241" s="316" t="str">
        <f t="shared" ca="1" si="111"/>
        <v/>
      </c>
      <c r="AC241" s="310" t="e">
        <f t="shared" ca="1" si="112"/>
        <v>#N/A</v>
      </c>
      <c r="AD241" s="323" t="e">
        <f t="shared" ca="1" si="113"/>
        <v>#N/A</v>
      </c>
      <c r="AE241" s="324">
        <f t="shared" ca="1" si="92"/>
        <v>804.48582748803756</v>
      </c>
      <c r="AG241" s="306">
        <f t="shared" ca="1" si="114"/>
        <v>-15.950448112752575</v>
      </c>
      <c r="AH241" s="304">
        <f t="shared" ca="1" si="115"/>
        <v>-6.4586950260933982</v>
      </c>
    </row>
    <row r="242" spans="1:34" x14ac:dyDescent="0.3">
      <c r="A242" s="347">
        <f t="shared" ca="1" si="93"/>
        <v>0.1</v>
      </c>
      <c r="B242" s="304">
        <f t="shared" ca="1" si="94"/>
        <v>5.7999999999999963</v>
      </c>
      <c r="D242" s="306">
        <f t="shared" ca="1" si="95"/>
        <v>-1.5999324620032527</v>
      </c>
      <c r="E242" s="307">
        <f t="shared" ca="1" si="96"/>
        <v>-15.885916922006595</v>
      </c>
      <c r="F242" s="304">
        <f t="shared" ca="1" si="97"/>
        <v>15.966281355903362</v>
      </c>
      <c r="G242" s="306">
        <f t="shared" ca="1" si="98"/>
        <v>30.398660855171659</v>
      </c>
      <c r="H242" s="307">
        <f t="shared" ca="1" si="99"/>
        <v>114.46120914488917</v>
      </c>
      <c r="I242" s="304">
        <f t="shared" ca="1" si="100"/>
        <v>118.4290799622196</v>
      </c>
      <c r="J242" s="306">
        <f t="shared" ca="1" si="101"/>
        <v>179.31169169187271</v>
      </c>
      <c r="K242" s="307">
        <f t="shared" ca="1" si="102"/>
        <v>816.01137798713648</v>
      </c>
      <c r="L242" s="304">
        <f t="shared" ca="1" si="87"/>
        <v>835.48025217946747</v>
      </c>
      <c r="M242" s="306">
        <f t="shared" ca="1" si="103"/>
        <v>1.3112083000995896</v>
      </c>
      <c r="N242" s="304">
        <f t="shared" ca="1" si="104"/>
        <v>75.126701658229564</v>
      </c>
      <c r="P242" s="310">
        <f t="shared" ca="1" si="105"/>
        <v>23</v>
      </c>
      <c r="Q242" s="304">
        <f t="shared" ca="1" si="106"/>
        <v>0</v>
      </c>
      <c r="R242" s="306">
        <f t="shared" ca="1" si="107"/>
        <v>0</v>
      </c>
      <c r="S242" s="307">
        <f t="shared" ca="1" si="108"/>
        <v>8.0499999999999989</v>
      </c>
      <c r="T242" s="304">
        <f t="shared" ca="1" si="88"/>
        <v>78.970499999999987</v>
      </c>
      <c r="U242" s="311">
        <f t="shared" ca="1" si="89"/>
        <v>0</v>
      </c>
      <c r="V242" s="306">
        <f t="shared" ca="1" si="90"/>
        <v>1.1289572067979048</v>
      </c>
      <c r="W242" s="304">
        <f t="shared" ca="1" si="91"/>
        <v>49.201288648461421</v>
      </c>
      <c r="Y242" s="314" t="str">
        <f t="shared" ca="1" si="109"/>
        <v/>
      </c>
      <c r="Z242" s="315" t="str">
        <f t="shared" ca="1" si="110"/>
        <v/>
      </c>
      <c r="AA242" s="316" t="str">
        <f t="shared" ca="1" si="111"/>
        <v/>
      </c>
      <c r="AC242" s="310" t="e">
        <f t="shared" ca="1" si="112"/>
        <v>#N/A</v>
      </c>
      <c r="AD242" s="323" t="e">
        <f t="shared" ca="1" si="113"/>
        <v>#N/A</v>
      </c>
      <c r="AE242" s="324">
        <f t="shared" ca="1" si="92"/>
        <v>816.01137798713648</v>
      </c>
      <c r="AG242" s="306">
        <f t="shared" ca="1" si="114"/>
        <v>-15.769650866362191</v>
      </c>
      <c r="AH242" s="304">
        <f t="shared" ca="1" si="115"/>
        <v>-6.2830367121399098</v>
      </c>
    </row>
    <row r="243" spans="1:34" x14ac:dyDescent="0.3">
      <c r="A243" s="347">
        <f t="shared" ca="1" si="93"/>
        <v>0.1</v>
      </c>
      <c r="B243" s="304">
        <f t="shared" ca="1" si="94"/>
        <v>5.8999999999999959</v>
      </c>
      <c r="D243" s="306">
        <f t="shared" ca="1" si="95"/>
        <v>-1.5688329206871996</v>
      </c>
      <c r="E243" s="307">
        <f t="shared" ca="1" si="96"/>
        <v>-15.717184987644444</v>
      </c>
      <c r="F243" s="304">
        <f t="shared" ca="1" si="97"/>
        <v>15.795288559214985</v>
      </c>
      <c r="G243" s="306">
        <f t="shared" ca="1" si="98"/>
        <v>30.241777563102939</v>
      </c>
      <c r="H243" s="307">
        <f t="shared" ca="1" si="99"/>
        <v>112.88949064612473</v>
      </c>
      <c r="I243" s="304">
        <f t="shared" ca="1" si="100"/>
        <v>116.87002271120545</v>
      </c>
      <c r="J243" s="306">
        <f t="shared" ca="1" si="101"/>
        <v>182.34371361278644</v>
      </c>
      <c r="K243" s="307">
        <f t="shared" ca="1" si="102"/>
        <v>827.37891297668716</v>
      </c>
      <c r="L243" s="304">
        <f t="shared" ca="1" si="87"/>
        <v>847.23379036284098</v>
      </c>
      <c r="M243" s="306">
        <f t="shared" ca="1" si="103"/>
        <v>1.309053721649666</v>
      </c>
      <c r="N243" s="304">
        <f t="shared" ca="1" si="104"/>
        <v>75.003253406419105</v>
      </c>
      <c r="P243" s="310">
        <f t="shared" ca="1" si="105"/>
        <v>23</v>
      </c>
      <c r="Q243" s="304">
        <f t="shared" ca="1" si="106"/>
        <v>0</v>
      </c>
      <c r="R243" s="306">
        <f t="shared" ca="1" si="107"/>
        <v>0</v>
      </c>
      <c r="S243" s="307">
        <f t="shared" ca="1" si="108"/>
        <v>8.0499999999999989</v>
      </c>
      <c r="T243" s="304">
        <f t="shared" ca="1" si="88"/>
        <v>78.970499999999987</v>
      </c>
      <c r="U243" s="311">
        <f t="shared" ca="1" si="89"/>
        <v>0</v>
      </c>
      <c r="V243" s="306">
        <f t="shared" ca="1" si="90"/>
        <v>1.1276724224271018</v>
      </c>
      <c r="W243" s="304">
        <f t="shared" ca="1" si="91"/>
        <v>47.85986874578289</v>
      </c>
      <c r="Y243" s="314" t="str">
        <f t="shared" ca="1" si="109"/>
        <v/>
      </c>
      <c r="Z243" s="315" t="str">
        <f t="shared" ca="1" si="110"/>
        <v/>
      </c>
      <c r="AA243" s="316" t="str">
        <f t="shared" ca="1" si="111"/>
        <v/>
      </c>
      <c r="AC243" s="310" t="e">
        <f t="shared" ca="1" si="112"/>
        <v>#N/A</v>
      </c>
      <c r="AD243" s="323" t="e">
        <f t="shared" ca="1" si="113"/>
        <v>#N/A</v>
      </c>
      <c r="AE243" s="324">
        <f t="shared" ca="1" si="92"/>
        <v>827.37891297668716</v>
      </c>
      <c r="AG243" s="306">
        <f t="shared" ca="1" si="114"/>
        <v>-15.593285184037585</v>
      </c>
      <c r="AH243" s="304">
        <f t="shared" ca="1" si="115"/>
        <v>-6.1119613227902398</v>
      </c>
    </row>
    <row r="244" spans="1:34" x14ac:dyDescent="0.3">
      <c r="A244" s="347">
        <f t="shared" ca="1" si="93"/>
        <v>0.1</v>
      </c>
      <c r="B244" s="304">
        <f t="shared" ca="1" si="94"/>
        <v>5.9999999999999956</v>
      </c>
      <c r="D244" s="306">
        <f t="shared" ca="1" si="95"/>
        <v>-1.538437328883397</v>
      </c>
      <c r="E244" s="307">
        <f t="shared" ca="1" si="96"/>
        <v>-15.5528306284656</v>
      </c>
      <c r="F244" s="304">
        <f t="shared" ca="1" si="97"/>
        <v>15.628734112929285</v>
      </c>
      <c r="G244" s="306">
        <f t="shared" ca="1" si="98"/>
        <v>30.087933830214599</v>
      </c>
      <c r="H244" s="307">
        <f t="shared" ca="1" si="99"/>
        <v>111.33420758327817</v>
      </c>
      <c r="I244" s="304">
        <f t="shared" ca="1" si="100"/>
        <v>115.32818190003624</v>
      </c>
      <c r="J244" s="306">
        <f t="shared" ca="1" si="101"/>
        <v>185.36019918245233</v>
      </c>
      <c r="K244" s="307">
        <f t="shared" ca="1" si="102"/>
        <v>838.59009788815729</v>
      </c>
      <c r="L244" s="304">
        <f t="shared" ca="1" si="87"/>
        <v>858.83162244821165</v>
      </c>
      <c r="M244" s="306">
        <f t="shared" ca="1" si="103"/>
        <v>1.3068526301392924</v>
      </c>
      <c r="N244" s="304">
        <f t="shared" ca="1" si="104"/>
        <v>74.877140152552627</v>
      </c>
      <c r="P244" s="310">
        <f t="shared" ca="1" si="105"/>
        <v>23</v>
      </c>
      <c r="Q244" s="304">
        <f t="shared" ca="1" si="106"/>
        <v>0</v>
      </c>
      <c r="R244" s="306">
        <f t="shared" ca="1" si="107"/>
        <v>0</v>
      </c>
      <c r="S244" s="307">
        <f t="shared" ca="1" si="108"/>
        <v>8.0499999999999989</v>
      </c>
      <c r="T244" s="304">
        <f t="shared" ca="1" si="88"/>
        <v>78.970499999999987</v>
      </c>
      <c r="U244" s="311">
        <f t="shared" ca="1" si="89"/>
        <v>0</v>
      </c>
      <c r="V244" s="306">
        <f t="shared" ca="1" si="90"/>
        <v>1.1264066820175997</v>
      </c>
      <c r="W244" s="304">
        <f t="shared" ca="1" si="91"/>
        <v>46.553077459735604</v>
      </c>
      <c r="Y244" s="314" t="str">
        <f t="shared" ca="1" si="109"/>
        <v/>
      </c>
      <c r="Z244" s="315" t="str">
        <f t="shared" ca="1" si="110"/>
        <v/>
      </c>
      <c r="AA244" s="316" t="str">
        <f t="shared" ca="1" si="111"/>
        <v/>
      </c>
      <c r="AC244" s="310">
        <f t="shared" ca="1" si="112"/>
        <v>5.9999999999999956</v>
      </c>
      <c r="AD244" s="323">
        <f t="shared" ca="1" si="113"/>
        <v>185.36019918245233</v>
      </c>
      <c r="AE244" s="324">
        <f t="shared" ca="1" si="92"/>
        <v>838.59009788815729</v>
      </c>
      <c r="AG244" s="306">
        <f t="shared" ca="1" si="114"/>
        <v>-15.421201822655192</v>
      </c>
      <c r="AH244" s="304">
        <f t="shared" ca="1" si="115"/>
        <v>-5.9453253100351429</v>
      </c>
    </row>
    <row r="245" spans="1:34" x14ac:dyDescent="0.3">
      <c r="A245" s="347">
        <f t="shared" ca="1" si="93"/>
        <v>0.1</v>
      </c>
      <c r="B245" s="304">
        <f t="shared" ca="1" si="94"/>
        <v>6.0999999999999952</v>
      </c>
      <c r="D245" s="306">
        <f t="shared" ca="1" si="95"/>
        <v>-1.5087227366695952</v>
      </c>
      <c r="E245" s="307">
        <f t="shared" ca="1" si="96"/>
        <v>-15.39271801905203</v>
      </c>
      <c r="F245" s="304">
        <f t="shared" ca="1" si="97"/>
        <v>15.466480281893254</v>
      </c>
      <c r="G245" s="306">
        <f t="shared" ca="1" si="98"/>
        <v>29.93706155654764</v>
      </c>
      <c r="H245" s="307">
        <f t="shared" ca="1" si="99"/>
        <v>109.79493578137297</v>
      </c>
      <c r="I245" s="304">
        <f t="shared" ca="1" si="100"/>
        <v>113.80314397184436</v>
      </c>
      <c r="J245" s="306">
        <f t="shared" ca="1" si="101"/>
        <v>188.36144895179044</v>
      </c>
      <c r="K245" s="307">
        <f t="shared" ca="1" si="102"/>
        <v>849.64655505638984</v>
      </c>
      <c r="L245" s="304">
        <f t="shared" ca="1" si="87"/>
        <v>870.27541845694395</v>
      </c>
      <c r="M245" s="306">
        <f t="shared" ca="1" si="103"/>
        <v>1.3046037203601373</v>
      </c>
      <c r="N245" s="304">
        <f t="shared" ca="1" si="104"/>
        <v>74.748287113701338</v>
      </c>
      <c r="P245" s="310">
        <f t="shared" ca="1" si="105"/>
        <v>23</v>
      </c>
      <c r="Q245" s="304">
        <f t="shared" ca="1" si="106"/>
        <v>0</v>
      </c>
      <c r="R245" s="306">
        <f t="shared" ca="1" si="107"/>
        <v>0</v>
      </c>
      <c r="S245" s="307">
        <f t="shared" ca="1" si="108"/>
        <v>8.0499999999999989</v>
      </c>
      <c r="T245" s="304">
        <f t="shared" ca="1" si="88"/>
        <v>78.970499999999987</v>
      </c>
      <c r="U245" s="311">
        <f t="shared" ca="1" si="89"/>
        <v>0</v>
      </c>
      <c r="V245" s="306">
        <f t="shared" ca="1" si="90"/>
        <v>1.1251597435049412</v>
      </c>
      <c r="W245" s="304">
        <f t="shared" ca="1" si="91"/>
        <v>45.279851349812901</v>
      </c>
      <c r="Y245" s="314" t="str">
        <f t="shared" ca="1" si="109"/>
        <v/>
      </c>
      <c r="Z245" s="315" t="str">
        <f t="shared" ca="1" si="110"/>
        <v/>
      </c>
      <c r="AA245" s="316" t="str">
        <f t="shared" ca="1" si="111"/>
        <v/>
      </c>
      <c r="AC245" s="310" t="e">
        <f t="shared" ca="1" si="112"/>
        <v>#N/A</v>
      </c>
      <c r="AD245" s="323" t="e">
        <f t="shared" ca="1" si="113"/>
        <v>#N/A</v>
      </c>
      <c r="AE245" s="324">
        <f t="shared" ca="1" si="92"/>
        <v>849.64655505638984</v>
      </c>
      <c r="AG245" s="306">
        <f t="shared" ca="1" si="114"/>
        <v>-15.253257131876344</v>
      </c>
      <c r="AH245" s="304">
        <f t="shared" ca="1" si="115"/>
        <v>-5.7829909887870325</v>
      </c>
    </row>
    <row r="246" spans="1:34" x14ac:dyDescent="0.3">
      <c r="A246" s="347">
        <f t="shared" ca="1" si="93"/>
        <v>0.1</v>
      </c>
      <c r="B246" s="304">
        <f t="shared" ca="1" si="94"/>
        <v>6.1999999999999948</v>
      </c>
      <c r="D246" s="306">
        <f t="shared" ca="1" si="95"/>
        <v>-1.4796671159766772</v>
      </c>
      <c r="E246" s="307">
        <f t="shared" ca="1" si="96"/>
        <v>-15.236716836239946</v>
      </c>
      <c r="F246" s="304">
        <f t="shared" ca="1" si="97"/>
        <v>15.308394910043985</v>
      </c>
      <c r="G246" s="306">
        <f t="shared" ca="1" si="98"/>
        <v>29.789094844949972</v>
      </c>
      <c r="H246" s="307">
        <f t="shared" ca="1" si="99"/>
        <v>108.27126409774898</v>
      </c>
      <c r="I246" s="304">
        <f t="shared" ca="1" si="100"/>
        <v>112.29450922020156</v>
      </c>
      <c r="J246" s="306">
        <f t="shared" ca="1" si="101"/>
        <v>191.34775677186531</v>
      </c>
      <c r="K246" s="307">
        <f t="shared" ca="1" si="102"/>
        <v>860.54986505034594</v>
      </c>
      <c r="L246" s="304">
        <f t="shared" ca="1" si="87"/>
        <v>881.56680646437314</v>
      </c>
      <c r="M246" s="306">
        <f t="shared" ca="1" si="103"/>
        <v>1.3023056369988291</v>
      </c>
      <c r="N246" s="304">
        <f t="shared" ca="1" si="104"/>
        <v>74.616616636129137</v>
      </c>
      <c r="P246" s="310">
        <f t="shared" ca="1" si="105"/>
        <v>23</v>
      </c>
      <c r="Q246" s="304">
        <f t="shared" ca="1" si="106"/>
        <v>0</v>
      </c>
      <c r="R246" s="306">
        <f t="shared" ca="1" si="107"/>
        <v>0</v>
      </c>
      <c r="S246" s="307">
        <f t="shared" ca="1" si="108"/>
        <v>8.0499999999999989</v>
      </c>
      <c r="T246" s="304">
        <f t="shared" ca="1" si="88"/>
        <v>78.970499999999987</v>
      </c>
      <c r="U246" s="311">
        <f t="shared" ca="1" si="89"/>
        <v>0</v>
      </c>
      <c r="V246" s="306">
        <f t="shared" ca="1" si="90"/>
        <v>1.1239313712719692</v>
      </c>
      <c r="W246" s="304">
        <f t="shared" ca="1" si="91"/>
        <v>44.039169755738818</v>
      </c>
      <c r="Y246" s="314" t="str">
        <f t="shared" ca="1" si="109"/>
        <v/>
      </c>
      <c r="Z246" s="315" t="str">
        <f t="shared" ca="1" si="110"/>
        <v/>
      </c>
      <c r="AA246" s="316" t="str">
        <f t="shared" ca="1" si="111"/>
        <v/>
      </c>
      <c r="AC246" s="310" t="e">
        <f t="shared" ca="1" si="112"/>
        <v>#N/A</v>
      </c>
      <c r="AD246" s="323" t="e">
        <f t="shared" ca="1" si="113"/>
        <v>#N/A</v>
      </c>
      <c r="AE246" s="324">
        <f t="shared" ca="1" si="92"/>
        <v>860.54986505034594</v>
      </c>
      <c r="AG246" s="306">
        <f t="shared" ca="1" si="114"/>
        <v>-15.089312756710584</v>
      </c>
      <c r="AH246" s="304">
        <f t="shared" ca="1" si="115"/>
        <v>-5.6248262546351437</v>
      </c>
    </row>
    <row r="247" spans="1:34" x14ac:dyDescent="0.3">
      <c r="A247" s="347">
        <f t="shared" ca="1" si="93"/>
        <v>0.1</v>
      </c>
      <c r="B247" s="304">
        <f t="shared" ca="1" si="94"/>
        <v>6.2999999999999945</v>
      </c>
      <c r="D247" s="306">
        <f t="shared" ca="1" si="95"/>
        <v>-1.45124931676413</v>
      </c>
      <c r="E247" s="307">
        <f t="shared" ca="1" si="96"/>
        <v>-15.084701996314077</v>
      </c>
      <c r="F247" s="304">
        <f t="shared" ca="1" si="97"/>
        <v>15.154351153942892</v>
      </c>
      <c r="G247" s="306">
        <f t="shared" ca="1" si="98"/>
        <v>29.643969913273558</v>
      </c>
      <c r="H247" s="307">
        <f t="shared" ca="1" si="99"/>
        <v>106.76279389811758</v>
      </c>
      <c r="I247" s="304">
        <f t="shared" ca="1" si="100"/>
        <v>110.80189128869145</v>
      </c>
      <c r="J247" s="306">
        <f t="shared" ca="1" si="101"/>
        <v>194.31941000977648</v>
      </c>
      <c r="K247" s="307">
        <f t="shared" ca="1" si="102"/>
        <v>871.30156795013932</v>
      </c>
      <c r="L247" s="304">
        <f t="shared" ca="1" si="87"/>
        <v>892.70737390195166</v>
      </c>
      <c r="M247" s="306">
        <f t="shared" ca="1" si="103"/>
        <v>1.2999569723069972</v>
      </c>
      <c r="N247" s="304">
        <f t="shared" ca="1" si="104"/>
        <v>74.48204806179578</v>
      </c>
      <c r="P247" s="310">
        <f t="shared" ca="1" si="105"/>
        <v>23</v>
      </c>
      <c r="Q247" s="304">
        <f t="shared" ca="1" si="106"/>
        <v>0</v>
      </c>
      <c r="R247" s="306">
        <f t="shared" ca="1" si="107"/>
        <v>0</v>
      </c>
      <c r="S247" s="307">
        <f t="shared" ca="1" si="108"/>
        <v>8.0499999999999989</v>
      </c>
      <c r="T247" s="304">
        <f t="shared" ca="1" si="88"/>
        <v>78.970499999999987</v>
      </c>
      <c r="U247" s="311">
        <f t="shared" ca="1" si="89"/>
        <v>0</v>
      </c>
      <c r="V247" s="306">
        <f t="shared" ca="1" si="90"/>
        <v>1.1227213359440955</v>
      </c>
      <c r="W247" s="304">
        <f t="shared" ca="1" si="91"/>
        <v>42.830052772939013</v>
      </c>
      <c r="Y247" s="314" t="str">
        <f t="shared" ca="1" si="109"/>
        <v/>
      </c>
      <c r="Z247" s="315" t="str">
        <f t="shared" ca="1" si="110"/>
        <v/>
      </c>
      <c r="AA247" s="316" t="str">
        <f t="shared" ca="1" si="111"/>
        <v/>
      </c>
      <c r="AC247" s="310" t="e">
        <f t="shared" ca="1" si="112"/>
        <v>#N/A</v>
      </c>
      <c r="AD247" s="323" t="e">
        <f t="shared" ca="1" si="113"/>
        <v>#N/A</v>
      </c>
      <c r="AE247" s="324">
        <f t="shared" ca="1" si="92"/>
        <v>871.30156795013932</v>
      </c>
      <c r="AG247" s="306">
        <f t="shared" ca="1" si="114"/>
        <v>-14.929235354972498</v>
      </c>
      <c r="AH247" s="304">
        <f t="shared" ca="1" si="115"/>
        <v>-5.4707043174830838</v>
      </c>
    </row>
    <row r="248" spans="1:34" x14ac:dyDescent="0.3">
      <c r="A248" s="347">
        <f t="shared" ca="1" si="93"/>
        <v>0.1</v>
      </c>
      <c r="B248" s="304">
        <f t="shared" ca="1" si="94"/>
        <v>6.3999999999999941</v>
      </c>
      <c r="D248" s="306">
        <f t="shared" ca="1" si="95"/>
        <v>-1.423449025666423</v>
      </c>
      <c r="E248" s="307">
        <f t="shared" ca="1" si="96"/>
        <v>-14.936553406858408</v>
      </c>
      <c r="F248" s="304">
        <f t="shared" ca="1" si="97"/>
        <v>15.004227231170693</v>
      </c>
      <c r="G248" s="306">
        <f t="shared" ca="1" si="98"/>
        <v>29.501625010706917</v>
      </c>
      <c r="H248" s="307">
        <f t="shared" ca="1" si="99"/>
        <v>105.26913855743175</v>
      </c>
      <c r="I248" s="304">
        <f t="shared" ca="1" si="100"/>
        <v>109.32491669741226</v>
      </c>
      <c r="J248" s="306">
        <f t="shared" ca="1" si="101"/>
        <v>197.2766897559755</v>
      </c>
      <c r="K248" s="307">
        <f t="shared" ca="1" si="102"/>
        <v>881.90316457291681</v>
      </c>
      <c r="L248" s="304">
        <f t="shared" ca="1" si="87"/>
        <v>903.6986688076953</v>
      </c>
      <c r="M248" s="306">
        <f t="shared" ca="1" si="103"/>
        <v>1.297556263643082</v>
      </c>
      <c r="N248" s="304">
        <f t="shared" ca="1" si="104"/>
        <v>74.344497587512947</v>
      </c>
      <c r="P248" s="310">
        <f t="shared" ca="1" si="105"/>
        <v>23</v>
      </c>
      <c r="Q248" s="304">
        <f t="shared" ca="1" si="106"/>
        <v>0</v>
      </c>
      <c r="R248" s="306">
        <f t="shared" ca="1" si="107"/>
        <v>0</v>
      </c>
      <c r="S248" s="307">
        <f t="shared" ca="1" si="108"/>
        <v>8.0499999999999989</v>
      </c>
      <c r="T248" s="304">
        <f t="shared" ca="1" si="88"/>
        <v>78.970499999999987</v>
      </c>
      <c r="U248" s="311">
        <f t="shared" ca="1" si="89"/>
        <v>0</v>
      </c>
      <c r="V248" s="306">
        <f t="shared" ca="1" si="90"/>
        <v>1.1215294141929888</v>
      </c>
      <c r="W248" s="304">
        <f t="shared" ca="1" si="91"/>
        <v>41.651559340120777</v>
      </c>
      <c r="Y248" s="314" t="str">
        <f t="shared" ca="1" si="109"/>
        <v/>
      </c>
      <c r="Z248" s="315" t="str">
        <f t="shared" ca="1" si="110"/>
        <v/>
      </c>
      <c r="AA248" s="316" t="str">
        <f t="shared" ca="1" si="111"/>
        <v/>
      </c>
      <c r="AC248" s="310" t="e">
        <f t="shared" ca="1" si="112"/>
        <v>#N/A</v>
      </c>
      <c r="AD248" s="323" t="e">
        <f t="shared" ca="1" si="113"/>
        <v>#N/A</v>
      </c>
      <c r="AE248" s="324">
        <f t="shared" ca="1" si="92"/>
        <v>881.90316457291681</v>
      </c>
      <c r="AG248" s="306">
        <f t="shared" ca="1" si="114"/>
        <v>-14.772896328545286</v>
      </c>
      <c r="AH248" s="304">
        <f t="shared" ca="1" si="115"/>
        <v>-5.3205034500545363</v>
      </c>
    </row>
    <row r="249" spans="1:34" x14ac:dyDescent="0.3">
      <c r="A249" s="347">
        <f t="shared" ca="1" si="93"/>
        <v>0.1</v>
      </c>
      <c r="B249" s="304">
        <f t="shared" ca="1" si="94"/>
        <v>6.4999999999999938</v>
      </c>
      <c r="D249" s="306">
        <f t="shared" ca="1" si="95"/>
        <v>-1.3962467269557524</v>
      </c>
      <c r="E249" s="307">
        <f t="shared" ca="1" si="96"/>
        <v>-14.792155732334137</v>
      </c>
      <c r="F249" s="304">
        <f t="shared" ca="1" si="97"/>
        <v>14.857906182640956</v>
      </c>
      <c r="G249" s="306">
        <f t="shared" ca="1" si="98"/>
        <v>29.362000338011342</v>
      </c>
      <c r="H249" s="307">
        <f t="shared" ca="1" si="99"/>
        <v>103.78992298419833</v>
      </c>
      <c r="I249" s="304">
        <f t="shared" ca="1" si="100"/>
        <v>107.86322439513478</v>
      </c>
      <c r="J249" s="306">
        <f t="shared" ca="1" si="101"/>
        <v>200.2198710234114</v>
      </c>
      <c r="K249" s="307">
        <f t="shared" ca="1" si="102"/>
        <v>892.35611764999828</v>
      </c>
      <c r="L249" s="304">
        <f t="shared" ca="1" si="87"/>
        <v>914.54220102738236</v>
      </c>
      <c r="M249" s="306">
        <f t="shared" ca="1" si="103"/>
        <v>1.2951019908779173</v>
      </c>
      <c r="N249" s="304">
        <f t="shared" ca="1" si="104"/>
        <v>74.203878116295101</v>
      </c>
      <c r="P249" s="310">
        <f t="shared" ca="1" si="105"/>
        <v>23</v>
      </c>
      <c r="Q249" s="304">
        <f t="shared" ca="1" si="106"/>
        <v>0</v>
      </c>
      <c r="R249" s="306">
        <f t="shared" ca="1" si="107"/>
        <v>0</v>
      </c>
      <c r="S249" s="307">
        <f t="shared" ca="1" si="108"/>
        <v>8.0499999999999989</v>
      </c>
      <c r="T249" s="304">
        <f t="shared" ca="1" si="88"/>
        <v>78.970499999999987</v>
      </c>
      <c r="U249" s="311">
        <f t="shared" ca="1" si="89"/>
        <v>0</v>
      </c>
      <c r="V249" s="306">
        <f t="shared" ca="1" si="90"/>
        <v>1.120355388548278</v>
      </c>
      <c r="W249" s="304">
        <f t="shared" ca="1" si="91"/>
        <v>40.502785431918781</v>
      </c>
      <c r="Y249" s="314" t="str">
        <f t="shared" ca="1" si="109"/>
        <v/>
      </c>
      <c r="Z249" s="315" t="str">
        <f t="shared" ca="1" si="110"/>
        <v/>
      </c>
      <c r="AA249" s="316" t="str">
        <f t="shared" ca="1" si="111"/>
        <v/>
      </c>
      <c r="AC249" s="310" t="e">
        <f t="shared" ca="1" si="112"/>
        <v>#N/A</v>
      </c>
      <c r="AD249" s="323" t="e">
        <f t="shared" ca="1" si="113"/>
        <v>#N/A</v>
      </c>
      <c r="AE249" s="324">
        <f t="shared" ca="1" si="92"/>
        <v>892.35611764999828</v>
      </c>
      <c r="AG249" s="306">
        <f t="shared" ca="1" si="114"/>
        <v>-14.620171567430969</v>
      </c>
      <c r="AH249" s="304">
        <f t="shared" ca="1" si="115"/>
        <v>-5.1741067503255627</v>
      </c>
    </row>
    <row r="250" spans="1:34" x14ac:dyDescent="0.3">
      <c r="A250" s="347">
        <f t="shared" ca="1" si="93"/>
        <v>0.1</v>
      </c>
      <c r="B250" s="304">
        <f t="shared" ca="1" si="94"/>
        <v>6.5999999999999934</v>
      </c>
      <c r="D250" s="306">
        <f t="shared" ca="1" si="95"/>
        <v>-1.3696236656776533</v>
      </c>
      <c r="E250" s="307">
        <f t="shared" ca="1" si="96"/>
        <v>-14.65139817252134</v>
      </c>
      <c r="F250" s="304">
        <f t="shared" ca="1" si="97"/>
        <v>14.715275647956648</v>
      </c>
      <c r="G250" s="306">
        <f t="shared" ca="1" si="98"/>
        <v>29.225037971443577</v>
      </c>
      <c r="H250" s="307">
        <f t="shared" ca="1" si="99"/>
        <v>102.32478316694619</v>
      </c>
      <c r="I250" s="304">
        <f t="shared" ca="1" si="100"/>
        <v>106.4164653359379</v>
      </c>
      <c r="J250" s="306">
        <f t="shared" ca="1" si="101"/>
        <v>203.14922293888415</v>
      </c>
      <c r="K250" s="307">
        <f t="shared" ca="1" si="102"/>
        <v>902.66185295755554</v>
      </c>
      <c r="L250" s="304">
        <f t="shared" ca="1" si="87"/>
        <v>925.23944336881789</v>
      </c>
      <c r="M250" s="306">
        <f t="shared" ca="1" si="103"/>
        <v>1.2925925736555377</v>
      </c>
      <c r="N250" s="304">
        <f t="shared" ca="1" si="104"/>
        <v>74.060099100415314</v>
      </c>
      <c r="P250" s="310">
        <f t="shared" ca="1" si="105"/>
        <v>23</v>
      </c>
      <c r="Q250" s="304">
        <f t="shared" ca="1" si="106"/>
        <v>0</v>
      </c>
      <c r="R250" s="306">
        <f t="shared" ca="1" si="107"/>
        <v>0</v>
      </c>
      <c r="S250" s="307">
        <f t="shared" ca="1" si="108"/>
        <v>8.0499999999999989</v>
      </c>
      <c r="T250" s="304">
        <f t="shared" ca="1" si="88"/>
        <v>78.970499999999987</v>
      </c>
      <c r="U250" s="311">
        <f t="shared" ca="1" si="89"/>
        <v>0</v>
      </c>
      <c r="V250" s="306">
        <f t="shared" ca="1" si="90"/>
        <v>1.1191990472168931</v>
      </c>
      <c r="W250" s="304">
        <f t="shared" ca="1" si="91"/>
        <v>39.382862350060428</v>
      </c>
      <c r="Y250" s="314" t="str">
        <f t="shared" ca="1" si="109"/>
        <v/>
      </c>
      <c r="Z250" s="315" t="str">
        <f t="shared" ca="1" si="110"/>
        <v/>
      </c>
      <c r="AA250" s="316" t="str">
        <f t="shared" ca="1" si="111"/>
        <v/>
      </c>
      <c r="AC250" s="310" t="e">
        <f t="shared" ca="1" si="112"/>
        <v>#N/A</v>
      </c>
      <c r="AD250" s="323" t="e">
        <f t="shared" ca="1" si="113"/>
        <v>#N/A</v>
      </c>
      <c r="AE250" s="324">
        <f t="shared" ca="1" si="92"/>
        <v>902.66185295755554</v>
      </c>
      <c r="AG250" s="306">
        <f t="shared" ca="1" si="114"/>
        <v>-14.470941205627391</v>
      </c>
      <c r="AH250" s="304">
        <f t="shared" ca="1" si="115"/>
        <v>-5.0314019170085453</v>
      </c>
    </row>
    <row r="251" spans="1:34" x14ac:dyDescent="0.3">
      <c r="A251" s="347">
        <f t="shared" ca="1" si="93"/>
        <v>0.1</v>
      </c>
      <c r="B251" s="304">
        <f t="shared" ca="1" si="94"/>
        <v>6.6999999999999931</v>
      </c>
      <c r="D251" s="306">
        <f t="shared" ca="1" si="95"/>
        <v>-1.343561812826332</v>
      </c>
      <c r="E251" s="307">
        <f t="shared" ca="1" si="96"/>
        <v>-14.514174253021602</v>
      </c>
      <c r="F251" s="304">
        <f t="shared" ca="1" si="97"/>
        <v>14.576227652995831</v>
      </c>
      <c r="G251" s="306">
        <f t="shared" ca="1" si="98"/>
        <v>29.090681790160943</v>
      </c>
      <c r="H251" s="307">
        <f t="shared" ca="1" si="99"/>
        <v>100.87336574164404</v>
      </c>
      <c r="I251" s="304">
        <f t="shared" ca="1" si="100"/>
        <v>104.98430207923414</v>
      </c>
      <c r="J251" s="306">
        <f t="shared" ca="1" si="101"/>
        <v>206.06500892696437</v>
      </c>
      <c r="K251" s="307">
        <f t="shared" ca="1" si="102"/>
        <v>912.82176040298509</v>
      </c>
      <c r="L251" s="304">
        <f t="shared" ca="1" si="87"/>
        <v>935.79183271135389</v>
      </c>
      <c r="M251" s="306">
        <f t="shared" ca="1" si="103"/>
        <v>1.2900263685000743</v>
      </c>
      <c r="N251" s="304">
        <f t="shared" ca="1" si="104"/>
        <v>73.913066375642543</v>
      </c>
      <c r="P251" s="310">
        <f t="shared" ca="1" si="105"/>
        <v>23</v>
      </c>
      <c r="Q251" s="304">
        <f t="shared" ca="1" si="106"/>
        <v>0</v>
      </c>
      <c r="R251" s="306">
        <f t="shared" ca="1" si="107"/>
        <v>0</v>
      </c>
      <c r="S251" s="307">
        <f t="shared" ca="1" si="108"/>
        <v>8.0499999999999989</v>
      </c>
      <c r="T251" s="304">
        <f t="shared" ca="1" si="88"/>
        <v>78.970499999999987</v>
      </c>
      <c r="U251" s="311">
        <f t="shared" ca="1" si="89"/>
        <v>0</v>
      </c>
      <c r="V251" s="306">
        <f t="shared" ca="1" si="90"/>
        <v>1.1180601839096718</v>
      </c>
      <c r="W251" s="304">
        <f t="shared" ca="1" si="91"/>
        <v>38.2909551069598</v>
      </c>
      <c r="Y251" s="314" t="str">
        <f t="shared" ca="1" si="109"/>
        <v/>
      </c>
      <c r="Z251" s="315" t="str">
        <f t="shared" ca="1" si="110"/>
        <v/>
      </c>
      <c r="AA251" s="316" t="str">
        <f t="shared" ca="1" si="111"/>
        <v/>
      </c>
      <c r="AC251" s="310" t="e">
        <f t="shared" ca="1" si="112"/>
        <v>#N/A</v>
      </c>
      <c r="AD251" s="323" t="e">
        <f t="shared" ca="1" si="113"/>
        <v>#N/A</v>
      </c>
      <c r="AE251" s="324">
        <f t="shared" ca="1" si="92"/>
        <v>912.82176040298509</v>
      </c>
      <c r="AG251" s="306">
        <f t="shared" ca="1" si="114"/>
        <v>-14.325089387926944</v>
      </c>
      <c r="AH251" s="304">
        <f t="shared" ca="1" si="115"/>
        <v>-4.8922810372745884</v>
      </c>
    </row>
    <row r="252" spans="1:34" x14ac:dyDescent="0.3">
      <c r="A252" s="347">
        <f t="shared" ca="1" si="93"/>
        <v>0.1</v>
      </c>
      <c r="B252" s="304">
        <f t="shared" ca="1" si="94"/>
        <v>6.7999999999999927</v>
      </c>
      <c r="D252" s="306">
        <f t="shared" ca="1" si="95"/>
        <v>-1.318043832435928</v>
      </c>
      <c r="E252" s="307">
        <f t="shared" ca="1" si="96"/>
        <v>-14.38038162707468</v>
      </c>
      <c r="F252" s="304">
        <f t="shared" ca="1" si="97"/>
        <v>14.44065840896908</v>
      </c>
      <c r="G252" s="306">
        <f t="shared" ca="1" si="98"/>
        <v>28.958877406917349</v>
      </c>
      <c r="H252" s="307">
        <f t="shared" ca="1" si="99"/>
        <v>99.435327578936565</v>
      </c>
      <c r="I252" s="304">
        <f t="shared" ca="1" si="100"/>
        <v>103.56640841218396</v>
      </c>
      <c r="J252" s="306">
        <f t="shared" ca="1" si="101"/>
        <v>208.96748688681828</v>
      </c>
      <c r="K252" s="307">
        <f t="shared" ca="1" si="102"/>
        <v>922.83719506901411</v>
      </c>
      <c r="L252" s="304">
        <f t="shared" ca="1" si="87"/>
        <v>946.20077107273494</v>
      </c>
      <c r="M252" s="306">
        <f t="shared" ca="1" si="103"/>
        <v>1.2874016657589635</v>
      </c>
      <c r="N252" s="304">
        <f t="shared" ca="1" si="104"/>
        <v>73.762681986100475</v>
      </c>
      <c r="P252" s="310">
        <f t="shared" ca="1" si="105"/>
        <v>23</v>
      </c>
      <c r="Q252" s="304">
        <f t="shared" ca="1" si="106"/>
        <v>0</v>
      </c>
      <c r="R252" s="306">
        <f t="shared" ca="1" si="107"/>
        <v>0</v>
      </c>
      <c r="S252" s="307">
        <f t="shared" ca="1" si="108"/>
        <v>8.0499999999999989</v>
      </c>
      <c r="T252" s="304">
        <f t="shared" ca="1" si="88"/>
        <v>78.970499999999987</v>
      </c>
      <c r="U252" s="311">
        <f t="shared" ca="1" si="89"/>
        <v>0</v>
      </c>
      <c r="V252" s="306">
        <f t="shared" ca="1" si="90"/>
        <v>1.1169385976748925</v>
      </c>
      <c r="W252" s="304">
        <f t="shared" ca="1" si="91"/>
        <v>37.226260896072056</v>
      </c>
      <c r="Y252" s="314" t="str">
        <f t="shared" ca="1" si="109"/>
        <v/>
      </c>
      <c r="Z252" s="315" t="str">
        <f t="shared" ca="1" si="110"/>
        <v/>
      </c>
      <c r="AA252" s="316" t="str">
        <f t="shared" ca="1" si="111"/>
        <v/>
      </c>
      <c r="AC252" s="310" t="e">
        <f t="shared" ca="1" si="112"/>
        <v>#N/A</v>
      </c>
      <c r="AD252" s="323" t="e">
        <f t="shared" ca="1" si="113"/>
        <v>#N/A</v>
      </c>
      <c r="AE252" s="324">
        <f t="shared" ca="1" si="92"/>
        <v>922.83719506901411</v>
      </c>
      <c r="AG252" s="306">
        <f t="shared" ca="1" si="114"/>
        <v>-14.182504046780839</v>
      </c>
      <c r="AH252" s="304">
        <f t="shared" ca="1" si="115"/>
        <v>-4.7566403859577395</v>
      </c>
    </row>
    <row r="253" spans="1:34" x14ac:dyDescent="0.3">
      <c r="A253" s="347">
        <f t="shared" ca="1" si="93"/>
        <v>0.1</v>
      </c>
      <c r="B253" s="304">
        <f t="shared" ca="1" si="94"/>
        <v>6.8999999999999924</v>
      </c>
      <c r="D253" s="306">
        <f t="shared" ca="1" si="95"/>
        <v>-1.293053050472784</v>
      </c>
      <c r="E253" s="307">
        <f t="shared" ca="1" si="96"/>
        <v>-14.249921887993906</v>
      </c>
      <c r="F253" s="304">
        <f t="shared" ca="1" si="97"/>
        <v>14.308468122243722</v>
      </c>
      <c r="G253" s="306">
        <f t="shared" ca="1" si="98"/>
        <v>28.82957210187007</v>
      </c>
      <c r="H253" s="307">
        <f t="shared" ca="1" si="99"/>
        <v>98.010335390137172</v>
      </c>
      <c r="I253" s="304">
        <f t="shared" ca="1" si="100"/>
        <v>102.16246899357954</v>
      </c>
      <c r="J253" s="306">
        <f t="shared" ca="1" si="101"/>
        <v>211.85690936225765</v>
      </c>
      <c r="K253" s="307">
        <f t="shared" ca="1" si="102"/>
        <v>932.70947821746779</v>
      </c>
      <c r="L253" s="304">
        <f t="shared" ca="1" si="87"/>
        <v>956.46762663522964</v>
      </c>
      <c r="M253" s="306">
        <f t="shared" ca="1" si="103"/>
        <v>1.2847166863720214</v>
      </c>
      <c r="N253" s="304">
        <f t="shared" ca="1" si="104"/>
        <v>73.608843999149073</v>
      </c>
      <c r="P253" s="310">
        <f t="shared" ca="1" si="105"/>
        <v>23</v>
      </c>
      <c r="Q253" s="304">
        <f t="shared" ca="1" si="106"/>
        <v>0</v>
      </c>
      <c r="R253" s="306">
        <f t="shared" ca="1" si="107"/>
        <v>0</v>
      </c>
      <c r="S253" s="307">
        <f t="shared" ca="1" si="108"/>
        <v>8.0499999999999989</v>
      </c>
      <c r="T253" s="304">
        <f t="shared" ca="1" si="88"/>
        <v>78.970499999999987</v>
      </c>
      <c r="U253" s="311">
        <f t="shared" ca="1" si="89"/>
        <v>0</v>
      </c>
      <c r="V253" s="306">
        <f t="shared" ca="1" si="90"/>
        <v>1.1158340927384147</v>
      </c>
      <c r="W253" s="304">
        <f t="shared" ca="1" si="91"/>
        <v>36.188007643729847</v>
      </c>
      <c r="Y253" s="314" t="str">
        <f t="shared" ca="1" si="109"/>
        <v/>
      </c>
      <c r="Z253" s="315" t="str">
        <f t="shared" ca="1" si="110"/>
        <v/>
      </c>
      <c r="AA253" s="316" t="str">
        <f t="shared" ca="1" si="111"/>
        <v/>
      </c>
      <c r="AC253" s="310" t="e">
        <f t="shared" ca="1" si="112"/>
        <v>#N/A</v>
      </c>
      <c r="AD253" s="323" t="e">
        <f t="shared" ca="1" si="113"/>
        <v>#N/A</v>
      </c>
      <c r="AE253" s="324">
        <f t="shared" ca="1" si="92"/>
        <v>932.70947821746779</v>
      </c>
      <c r="AG253" s="306">
        <f t="shared" ca="1" si="114"/>
        <v>-14.04307668841699</v>
      </c>
      <c r="AH253" s="304">
        <f t="shared" ca="1" si="115"/>
        <v>-4.6243802355369024</v>
      </c>
    </row>
    <row r="254" spans="1:34" x14ac:dyDescent="0.3">
      <c r="A254" s="347">
        <f t="shared" ca="1" si="93"/>
        <v>0.1</v>
      </c>
      <c r="B254" s="304">
        <f t="shared" ca="1" si="94"/>
        <v>6.999999999999992</v>
      </c>
      <c r="D254" s="306">
        <f t="shared" ca="1" si="95"/>
        <v>-1.2685734254218353</v>
      </c>
      <c r="E254" s="307">
        <f t="shared" ca="1" si="96"/>
        <v>-14.12270039157273</v>
      </c>
      <c r="F254" s="304">
        <f t="shared" ca="1" si="97"/>
        <v>14.179560814278242</v>
      </c>
      <c r="G254" s="306">
        <f t="shared" ca="1" si="98"/>
        <v>28.702714759327886</v>
      </c>
      <c r="H254" s="307">
        <f t="shared" ca="1" si="99"/>
        <v>96.598065350979894</v>
      </c>
      <c r="I254" s="304">
        <f t="shared" ca="1" si="100"/>
        <v>100.77217901835566</v>
      </c>
      <c r="J254" s="306">
        <f t="shared" ca="1" si="101"/>
        <v>214.73352370531754</v>
      </c>
      <c r="K254" s="307">
        <f t="shared" ca="1" si="102"/>
        <v>942.43989825452365</v>
      </c>
      <c r="L254" s="304">
        <f t="shared" ca="1" si="87"/>
        <v>966.59373473290168</v>
      </c>
      <c r="M254" s="306">
        <f t="shared" ca="1" si="103"/>
        <v>1.2819695784552008</v>
      </c>
      <c r="N254" s="304">
        <f t="shared" ca="1" si="104"/>
        <v>73.451446309648276</v>
      </c>
      <c r="P254" s="310">
        <f t="shared" ca="1" si="105"/>
        <v>23</v>
      </c>
      <c r="Q254" s="304">
        <f t="shared" ca="1" si="106"/>
        <v>0</v>
      </c>
      <c r="R254" s="306">
        <f t="shared" ca="1" si="107"/>
        <v>0</v>
      </c>
      <c r="S254" s="307">
        <f t="shared" ca="1" si="108"/>
        <v>8.0499999999999989</v>
      </c>
      <c r="T254" s="304">
        <f t="shared" ca="1" si="88"/>
        <v>78.970499999999987</v>
      </c>
      <c r="U254" s="311">
        <f t="shared" ca="1" si="89"/>
        <v>0</v>
      </c>
      <c r="V254" s="306">
        <f t="shared" ca="1" si="90"/>
        <v>1.1147464783501166</v>
      </c>
      <c r="W254" s="304">
        <f t="shared" ca="1" si="91"/>
        <v>35.175452637542008</v>
      </c>
      <c r="Y254" s="314" t="str">
        <f t="shared" ca="1" si="109"/>
        <v/>
      </c>
      <c r="Z254" s="315" t="str">
        <f t="shared" ca="1" si="110"/>
        <v/>
      </c>
      <c r="AA254" s="316" t="str">
        <f t="shared" ca="1" si="111"/>
        <v/>
      </c>
      <c r="AC254" s="310">
        <f t="shared" ca="1" si="112"/>
        <v>6.999999999999992</v>
      </c>
      <c r="AD254" s="323">
        <f t="shared" ca="1" si="113"/>
        <v>214.73352370531754</v>
      </c>
      <c r="AE254" s="324">
        <f t="shared" ca="1" si="92"/>
        <v>942.43989825452365</v>
      </c>
      <c r="AG254" s="306">
        <f t="shared" ca="1" si="114"/>
        <v>-13.906702187438983</v>
      </c>
      <c r="AH254" s="304">
        <f t="shared" ca="1" si="115"/>
        <v>-4.4954046762397333</v>
      </c>
    </row>
    <row r="255" spans="1:34" x14ac:dyDescent="0.3">
      <c r="A255" s="347">
        <f t="shared" ca="1" si="93"/>
        <v>0.1</v>
      </c>
      <c r="B255" s="304">
        <f t="shared" ca="1" si="94"/>
        <v>7.0999999999999917</v>
      </c>
      <c r="D255" s="306">
        <f t="shared" ca="1" si="95"/>
        <v>-1.2445895204677555</v>
      </c>
      <c r="E255" s="307">
        <f t="shared" ca="1" si="96"/>
        <v>-13.998626087858746</v>
      </c>
      <c r="F255" s="304">
        <f t="shared" ca="1" si="97"/>
        <v>14.053844151054815</v>
      </c>
      <c r="G255" s="306">
        <f t="shared" ca="1" si="98"/>
        <v>28.57825580728111</v>
      </c>
      <c r="H255" s="307">
        <f t="shared" ca="1" si="99"/>
        <v>95.198202742194013</v>
      </c>
      <c r="I255" s="304">
        <f t="shared" ca="1" si="100"/>
        <v>99.395243901960782</v>
      </c>
      <c r="J255" s="306">
        <f t="shared" ca="1" si="101"/>
        <v>217.59757223364798</v>
      </c>
      <c r="K255" s="307">
        <f t="shared" ca="1" si="102"/>
        <v>952.02971165918234</v>
      </c>
      <c r="L255" s="304">
        <f t="shared" ca="1" si="87"/>
        <v>976.58039880177989</v>
      </c>
      <c r="M255" s="306">
        <f t="shared" ca="1" si="103"/>
        <v>1.2791584136870644</v>
      </c>
      <c r="N255" s="304">
        <f t="shared" ca="1" si="104"/>
        <v>73.290378432918189</v>
      </c>
      <c r="P255" s="310">
        <f t="shared" ca="1" si="105"/>
        <v>23</v>
      </c>
      <c r="Q255" s="304">
        <f t="shared" ca="1" si="106"/>
        <v>0</v>
      </c>
      <c r="R255" s="306">
        <f t="shared" ca="1" si="107"/>
        <v>0</v>
      </c>
      <c r="S255" s="307">
        <f t="shared" ca="1" si="108"/>
        <v>8.0499999999999989</v>
      </c>
      <c r="T255" s="304">
        <f t="shared" ca="1" si="88"/>
        <v>78.970499999999987</v>
      </c>
      <c r="U255" s="311">
        <f t="shared" ca="1" si="89"/>
        <v>0</v>
      </c>
      <c r="V255" s="306">
        <f t="shared" ca="1" si="90"/>
        <v>1.1136755686363387</v>
      </c>
      <c r="W255" s="304">
        <f t="shared" ca="1" si="91"/>
        <v>34.187881226769051</v>
      </c>
      <c r="Y255" s="314" t="str">
        <f t="shared" ca="1" si="109"/>
        <v/>
      </c>
      <c r="Z255" s="315" t="str">
        <f t="shared" ca="1" si="110"/>
        <v/>
      </c>
      <c r="AA255" s="316" t="str">
        <f t="shared" ca="1" si="111"/>
        <v/>
      </c>
      <c r="AC255" s="310" t="e">
        <f t="shared" ca="1" si="112"/>
        <v>#N/A</v>
      </c>
      <c r="AD255" s="323" t="e">
        <f t="shared" ca="1" si="113"/>
        <v>#N/A</v>
      </c>
      <c r="AE255" s="324">
        <f t="shared" ca="1" si="92"/>
        <v>952.02971165918234</v>
      </c>
      <c r="AG255" s="306">
        <f t="shared" ca="1" si="114"/>
        <v>-13.773278589168228</v>
      </c>
      <c r="AH255" s="304">
        <f t="shared" ca="1" si="115"/>
        <v>-4.3696214456573932</v>
      </c>
    </row>
    <row r="256" spans="1:34" x14ac:dyDescent="0.3">
      <c r="A256" s="347">
        <f t="shared" ca="1" si="93"/>
        <v>0.1</v>
      </c>
      <c r="B256" s="304">
        <f t="shared" ca="1" si="94"/>
        <v>7.1999999999999913</v>
      </c>
      <c r="D256" s="306">
        <f t="shared" ca="1" si="95"/>
        <v>-1.2210864771784722</v>
      </c>
      <c r="E256" s="307">
        <f t="shared" ca="1" si="96"/>
        <v>-13.877611361732264</v>
      </c>
      <c r="F256" s="304">
        <f t="shared" ca="1" si="97"/>
        <v>13.931229281439185</v>
      </c>
      <c r="G256" s="306">
        <f t="shared" ca="1" si="98"/>
        <v>28.456147159563262</v>
      </c>
      <c r="H256" s="307">
        <f t="shared" ca="1" si="99"/>
        <v>93.810441606020788</v>
      </c>
      <c r="I256" s="304">
        <f t="shared" ca="1" si="100"/>
        <v>98.031378983891457</v>
      </c>
      <c r="J256" s="306">
        <f t="shared" ca="1" si="101"/>
        <v>220.4492923819902</v>
      </c>
      <c r="K256" s="307">
        <f t="shared" ca="1" si="102"/>
        <v>961.48014387659305</v>
      </c>
      <c r="L256" s="304">
        <f t="shared" ca="1" si="87"/>
        <v>986.42889129459013</v>
      </c>
      <c r="M256" s="306">
        <f t="shared" ca="1" si="103"/>
        <v>1.2762811834851733</v>
      </c>
      <c r="N256" s="304">
        <f t="shared" ca="1" si="104"/>
        <v>73.125525285662249</v>
      </c>
      <c r="P256" s="310">
        <f t="shared" ca="1" si="105"/>
        <v>23</v>
      </c>
      <c r="Q256" s="304">
        <f t="shared" ca="1" si="106"/>
        <v>0</v>
      </c>
      <c r="R256" s="306">
        <f t="shared" ca="1" si="107"/>
        <v>0</v>
      </c>
      <c r="S256" s="307">
        <f t="shared" ca="1" si="108"/>
        <v>8.0499999999999989</v>
      </c>
      <c r="T256" s="304">
        <f t="shared" ca="1" si="88"/>
        <v>78.970499999999987</v>
      </c>
      <c r="U256" s="311">
        <f t="shared" ca="1" si="89"/>
        <v>0</v>
      </c>
      <c r="V256" s="306">
        <f t="shared" ca="1" si="90"/>
        <v>1.1126211824580625</v>
      </c>
      <c r="W256" s="304">
        <f t="shared" ca="1" si="91"/>
        <v>33.224605590396806</v>
      </c>
      <c r="Y256" s="314" t="str">
        <f t="shared" ca="1" si="109"/>
        <v/>
      </c>
      <c r="Z256" s="315" t="str">
        <f t="shared" ca="1" si="110"/>
        <v/>
      </c>
      <c r="AA256" s="316" t="str">
        <f t="shared" ca="1" si="111"/>
        <v/>
      </c>
      <c r="AC256" s="310" t="e">
        <f t="shared" ca="1" si="112"/>
        <v>#N/A</v>
      </c>
      <c r="AD256" s="323" t="e">
        <f t="shared" ca="1" si="113"/>
        <v>#N/A</v>
      </c>
      <c r="AE256" s="324">
        <f t="shared" ca="1" si="92"/>
        <v>961.48014387659305</v>
      </c>
      <c r="AG256" s="306">
        <f t="shared" ca="1" si="114"/>
        <v>-13.642706919022217</v>
      </c>
      <c r="AH256" s="304">
        <f t="shared" ca="1" si="115"/>
        <v>-4.2469417673005037</v>
      </c>
    </row>
    <row r="257" spans="1:34" x14ac:dyDescent="0.3">
      <c r="A257" s="347">
        <f t="shared" ca="1" si="93"/>
        <v>0.1</v>
      </c>
      <c r="B257" s="304">
        <f t="shared" ca="1" si="94"/>
        <v>7.2999999999999909</v>
      </c>
      <c r="D257" s="306">
        <f t="shared" ca="1" si="95"/>
        <v>-1.1980499906050968</v>
      </c>
      <c r="E257" s="307">
        <f t="shared" ca="1" si="96"/>
        <v>-13.759571881764128</v>
      </c>
      <c r="F257" s="304">
        <f t="shared" ca="1" si="97"/>
        <v>13.811630683935293</v>
      </c>
      <c r="G257" s="306">
        <f t="shared" ca="1" si="98"/>
        <v>28.336342160502753</v>
      </c>
      <c r="H257" s="307">
        <f t="shared" ca="1" si="99"/>
        <v>92.434484417844374</v>
      </c>
      <c r="I257" s="304">
        <f t="shared" ca="1" si="100"/>
        <v>96.680309249762956</v>
      </c>
      <c r="J257" s="306">
        <f t="shared" ca="1" si="101"/>
        <v>223.28891684799351</v>
      </c>
      <c r="K257" s="307">
        <f t="shared" ca="1" si="102"/>
        <v>970.79239017778627</v>
      </c>
      <c r="L257" s="304">
        <f t="shared" ca="1" si="87"/>
        <v>996.14045456162933</v>
      </c>
      <c r="M257" s="306">
        <f t="shared" ca="1" si="103"/>
        <v>1.2733357949586779</v>
      </c>
      <c r="N257" s="304">
        <f t="shared" ca="1" si="104"/>
        <v>72.956766954067803</v>
      </c>
      <c r="P257" s="310">
        <f t="shared" ca="1" si="105"/>
        <v>23</v>
      </c>
      <c r="Q257" s="304">
        <f t="shared" ca="1" si="106"/>
        <v>0</v>
      </c>
      <c r="R257" s="306">
        <f t="shared" ca="1" si="107"/>
        <v>0</v>
      </c>
      <c r="S257" s="307">
        <f t="shared" ca="1" si="108"/>
        <v>8.0499999999999989</v>
      </c>
      <c r="T257" s="304">
        <f t="shared" ca="1" si="88"/>
        <v>78.970499999999987</v>
      </c>
      <c r="U257" s="311">
        <f t="shared" ca="1" si="89"/>
        <v>0</v>
      </c>
      <c r="V257" s="306">
        <f t="shared" ca="1" si="90"/>
        <v>1.111583143274568</v>
      </c>
      <c r="W257" s="304">
        <f t="shared" ca="1" si="91"/>
        <v>32.284963568915565</v>
      </c>
      <c r="Y257" s="314" t="str">
        <f t="shared" ca="1" si="109"/>
        <v/>
      </c>
      <c r="Z257" s="315" t="str">
        <f t="shared" ca="1" si="110"/>
        <v/>
      </c>
      <c r="AA257" s="316" t="str">
        <f t="shared" ca="1" si="111"/>
        <v/>
      </c>
      <c r="AC257" s="310" t="e">
        <f t="shared" ca="1" si="112"/>
        <v>#N/A</v>
      </c>
      <c r="AD257" s="323" t="e">
        <f t="shared" ca="1" si="113"/>
        <v>#N/A</v>
      </c>
      <c r="AE257" s="324">
        <f t="shared" ca="1" si="92"/>
        <v>970.79239017778627</v>
      </c>
      <c r="AG257" s="306">
        <f t="shared" ca="1" si="114"/>
        <v>-13.514890998248188</v>
      </c>
      <c r="AH257" s="304">
        <f t="shared" ca="1" si="115"/>
        <v>-4.1272801975648212</v>
      </c>
    </row>
    <row r="258" spans="1:34" x14ac:dyDescent="0.3">
      <c r="A258" s="347">
        <f t="shared" ca="1" si="93"/>
        <v>0.1</v>
      </c>
      <c r="B258" s="304">
        <f t="shared" ca="1" si="94"/>
        <v>7.3999999999999906</v>
      </c>
      <c r="D258" s="306">
        <f t="shared" ca="1" si="95"/>
        <v>-1.1754662857183493</v>
      </c>
      <c r="E258" s="307">
        <f t="shared" ca="1" si="96"/>
        <v>-13.644426456862291</v>
      </c>
      <c r="F258" s="304">
        <f t="shared" ca="1" si="97"/>
        <v>13.694966021337335</v>
      </c>
      <c r="G258" s="306">
        <f t="shared" ca="1" si="98"/>
        <v>28.218795531930919</v>
      </c>
      <c r="H258" s="307">
        <f t="shared" ca="1" si="99"/>
        <v>91.070041772158149</v>
      </c>
      <c r="I258" s="304">
        <f t="shared" ca="1" si="100"/>
        <v>95.341769071354832</v>
      </c>
      <c r="J258" s="306">
        <f t="shared" ca="1" si="101"/>
        <v>226.1166737326152</v>
      </c>
      <c r="K258" s="307">
        <f t="shared" ca="1" si="102"/>
        <v>979.96761648728636</v>
      </c>
      <c r="L258" s="304">
        <f t="shared" ca="1" si="87"/>
        <v>1005.716301699279</v>
      </c>
      <c r="M258" s="306">
        <f t="shared" ca="1" si="103"/>
        <v>1.2703200666224446</v>
      </c>
      <c r="N258" s="304">
        <f t="shared" ca="1" si="104"/>
        <v>72.78397844824363</v>
      </c>
      <c r="P258" s="310">
        <f t="shared" ca="1" si="105"/>
        <v>23</v>
      </c>
      <c r="Q258" s="304">
        <f t="shared" ca="1" si="106"/>
        <v>0</v>
      </c>
      <c r="R258" s="306">
        <f t="shared" ca="1" si="107"/>
        <v>0</v>
      </c>
      <c r="S258" s="307">
        <f t="shared" ca="1" si="108"/>
        <v>8.0499999999999989</v>
      </c>
      <c r="T258" s="304">
        <f t="shared" ca="1" si="88"/>
        <v>78.970499999999987</v>
      </c>
      <c r="U258" s="311">
        <f t="shared" ca="1" si="89"/>
        <v>0</v>
      </c>
      <c r="V258" s="306">
        <f t="shared" ca="1" si="90"/>
        <v>1.1105612790123152</v>
      </c>
      <c r="W258" s="304">
        <f t="shared" ca="1" si="91"/>
        <v>31.368317556075276</v>
      </c>
      <c r="Y258" s="314" t="str">
        <f t="shared" ca="1" si="109"/>
        <v/>
      </c>
      <c r="Z258" s="315" t="str">
        <f t="shared" ca="1" si="110"/>
        <v/>
      </c>
      <c r="AA258" s="316" t="str">
        <f t="shared" ca="1" si="111"/>
        <v/>
      </c>
      <c r="AC258" s="310" t="e">
        <f t="shared" ca="1" si="112"/>
        <v>#N/A</v>
      </c>
      <c r="AD258" s="323" t="e">
        <f t="shared" ca="1" si="113"/>
        <v>#N/A</v>
      </c>
      <c r="AE258" s="324">
        <f t="shared" ca="1" si="92"/>
        <v>979.96761648728636</v>
      </c>
      <c r="AG258" s="306">
        <f t="shared" ca="1" si="114"/>
        <v>-13.389737265354116</v>
      </c>
      <c r="AH258" s="304">
        <f t="shared" ca="1" si="115"/>
        <v>-4.0105544806106295</v>
      </c>
    </row>
    <row r="259" spans="1:34" x14ac:dyDescent="0.3">
      <c r="A259" s="347">
        <f t="shared" ca="1" si="93"/>
        <v>0.1</v>
      </c>
      <c r="B259" s="304">
        <f t="shared" ca="1" si="94"/>
        <v>7.4999999999999902</v>
      </c>
      <c r="D259" s="306">
        <f t="shared" ca="1" si="95"/>
        <v>-1.1533220951070997</v>
      </c>
      <c r="E259" s="307">
        <f t="shared" ca="1" si="96"/>
        <v>-13.532096900248863</v>
      </c>
      <c r="F259" s="304">
        <f t="shared" ca="1" si="97"/>
        <v>13.581156002814604</v>
      </c>
      <c r="G259" s="306">
        <f t="shared" ca="1" si="98"/>
        <v>28.103463322420208</v>
      </c>
      <c r="H259" s="307">
        <f t="shared" ca="1" si="99"/>
        <v>89.716832082133266</v>
      </c>
      <c r="I259" s="304">
        <f t="shared" ca="1" si="100"/>
        <v>94.015501964135225</v>
      </c>
      <c r="J259" s="306">
        <f t="shared" ca="1" si="101"/>
        <v>228.93278667533275</v>
      </c>
      <c r="K259" s="307">
        <f t="shared" ca="1" si="102"/>
        <v>989.00696018000099</v>
      </c>
      <c r="L259" s="304">
        <f t="shared" ca="1" si="87"/>
        <v>1015.1576173675788</v>
      </c>
      <c r="M259" s="306">
        <f t="shared" ca="1" si="103"/>
        <v>1.2672317238569992</v>
      </c>
      <c r="N259" s="304">
        <f t="shared" ca="1" si="104"/>
        <v>72.607029442093847</v>
      </c>
      <c r="P259" s="310">
        <f t="shared" ca="1" si="105"/>
        <v>23</v>
      </c>
      <c r="Q259" s="304">
        <f t="shared" ca="1" si="106"/>
        <v>0</v>
      </c>
      <c r="R259" s="306">
        <f t="shared" ca="1" si="107"/>
        <v>0</v>
      </c>
      <c r="S259" s="307">
        <f t="shared" ca="1" si="108"/>
        <v>8.0499999999999989</v>
      </c>
      <c r="T259" s="304">
        <f t="shared" ca="1" si="88"/>
        <v>78.970499999999987</v>
      </c>
      <c r="U259" s="311">
        <f t="shared" ca="1" si="89"/>
        <v>0</v>
      </c>
      <c r="V259" s="306">
        <f t="shared" ca="1" si="90"/>
        <v>1.1095554219388271</v>
      </c>
      <c r="W259" s="304">
        <f t="shared" ca="1" si="91"/>
        <v>30.474053447133233</v>
      </c>
      <c r="Y259" s="314" t="str">
        <f t="shared" ca="1" si="109"/>
        <v/>
      </c>
      <c r="Z259" s="315" t="str">
        <f t="shared" ca="1" si="110"/>
        <v/>
      </c>
      <c r="AA259" s="316" t="str">
        <f t="shared" ca="1" si="111"/>
        <v/>
      </c>
      <c r="AC259" s="310" t="e">
        <f t="shared" ca="1" si="112"/>
        <v>#N/A</v>
      </c>
      <c r="AD259" s="323" t="e">
        <f t="shared" ca="1" si="113"/>
        <v>#N/A</v>
      </c>
      <c r="AE259" s="324">
        <f t="shared" ca="1" si="92"/>
        <v>989.00696018000099</v>
      </c>
      <c r="AG259" s="306">
        <f t="shared" ca="1" si="114"/>
        <v>-13.267154602597792</v>
      </c>
      <c r="AH259" s="304">
        <f t="shared" ca="1" si="115"/>
        <v>-3.8966854106925815</v>
      </c>
    </row>
    <row r="260" spans="1:34" x14ac:dyDescent="0.3">
      <c r="A260" s="347">
        <f t="shared" ca="1" si="93"/>
        <v>0.1</v>
      </c>
      <c r="B260" s="304">
        <f t="shared" ca="1" si="94"/>
        <v>7.5999999999999899</v>
      </c>
      <c r="D260" s="306">
        <f t="shared" ca="1" si="95"/>
        <v>-1.1316046378699145</v>
      </c>
      <c r="E260" s="307">
        <f t="shared" ca="1" si="96"/>
        <v>-13.422507900339287</v>
      </c>
      <c r="F260" s="304">
        <f t="shared" ca="1" si="97"/>
        <v>13.470124252994822</v>
      </c>
      <c r="G260" s="306">
        <f t="shared" ca="1" si="98"/>
        <v>27.990302858633218</v>
      </c>
      <c r="H260" s="307">
        <f t="shared" ca="1" si="99"/>
        <v>88.374581292099336</v>
      </c>
      <c r="I260" s="304">
        <f t="shared" ca="1" si="100"/>
        <v>92.701260361830492</v>
      </c>
      <c r="J260" s="306">
        <f t="shared" ca="1" si="101"/>
        <v>231.73747498438541</v>
      </c>
      <c r="K260" s="307">
        <f t="shared" ca="1" si="102"/>
        <v>997.91153084871257</v>
      </c>
      <c r="L260" s="304">
        <f t="shared" ref="L260:L323" ca="1" si="116">SQRT(pos_x^2+pos_z^2)</f>
        <v>1024.4655585782079</v>
      </c>
      <c r="M260" s="306">
        <f t="shared" ca="1" si="103"/>
        <v>1.2640683940974697</v>
      </c>
      <c r="N260" s="304">
        <f t="shared" ca="1" si="104"/>
        <v>72.425783997664681</v>
      </c>
      <c r="P260" s="310">
        <f t="shared" ca="1" si="105"/>
        <v>23</v>
      </c>
      <c r="Q260" s="304">
        <f t="shared" ca="1" si="106"/>
        <v>0</v>
      </c>
      <c r="R260" s="306">
        <f t="shared" ca="1" si="107"/>
        <v>0</v>
      </c>
      <c r="S260" s="307">
        <f t="shared" ca="1" si="108"/>
        <v>8.0499999999999989</v>
      </c>
      <c r="T260" s="304">
        <f t="shared" ref="T260:T323" ca="1" si="117">m*g</f>
        <v>78.970499999999987</v>
      </c>
      <c r="U260" s="311">
        <f t="shared" ref="U260:U323" ca="1" si="118">IF(pos_xz&lt;L_rampe,Poids*COS(Beta),0)</f>
        <v>0</v>
      </c>
      <c r="V260" s="306">
        <f t="shared" ref="V260:V323" ca="1" si="119">Rho_moyen*(20000-Alt_rampe-pos_z)/(20000+Alt_rampe+pos_z)</f>
        <v>1.1085654085413454</v>
      </c>
      <c r="W260" s="304">
        <f t="shared" ref="W260:W323" ca="1" si="120">1/2*Rho*Sref*Cx*vit_xz^2</f>
        <v>29.601579640336581</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997.91153084871257</v>
      </c>
      <c r="AG260" s="306">
        <f t="shared" ca="1" si="114"/>
        <v>-13.147054166909843</v>
      </c>
      <c r="AH260" s="304">
        <f t="shared" ca="1" si="115"/>
        <v>-3.7855967015072345</v>
      </c>
    </row>
    <row r="261" spans="1:34" x14ac:dyDescent="0.3">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-1.1103015996352785</v>
      </c>
      <c r="E261" s="307">
        <f t="shared" ref="E261:E324" ca="1" si="125">IF(AND(L260&lt;L_rampe,Poussee&lt;Poids*SIN(M260)),0,(-W260+Poussee)/m*SIN(M260)+U260/m*COS(M260)-Poids/m)</f>
        <v>-13.315586898122875</v>
      </c>
      <c r="F261" s="304">
        <f t="shared" ref="F261:F324" ca="1" si="126">SQRT(acc_x^2+acc_z^2)</f>
        <v>13.361797187639626</v>
      </c>
      <c r="G261" s="306">
        <f t="shared" ref="G261:G324" ca="1" si="127">G260+acc_x*pas</f>
        <v>27.879272698669691</v>
      </c>
      <c r="H261" s="307">
        <f t="shared" ref="H261:H324" ca="1" si="128">H260+acc_z*pas</f>
        <v>87.043022602287053</v>
      </c>
      <c r="I261" s="304">
        <f t="shared" ref="I261:I324" ca="1" si="129">SQRT(vit_x^2+vit_z^2)</f>
        <v>91.398805407669542</v>
      </c>
      <c r="J261" s="306">
        <f t="shared" ref="J261:J324" ca="1" si="130">J260+0.5*(vit_x+G260)*pas*(K260&gt;=0)</f>
        <v>234.53095376225056</v>
      </c>
      <c r="K261" s="307">
        <f t="shared" ref="K261:K324" ca="1" si="131">K260+0.5*(vit_z+H260)*pas</f>
        <v>1006.6824110434319</v>
      </c>
      <c r="L261" s="304">
        <f t="shared" ca="1" si="116"/>
        <v>1033.641255454158</v>
      </c>
      <c r="M261" s="306">
        <f t="shared" ref="M261:M324" ca="1" si="132">IF(AND(L260&gt;L_rampe,G261&gt;0),ATAN2(G261,H261),$M$4)</f>
        <v>1.2608276017335112</v>
      </c>
      <c r="N261" s="304">
        <f t="shared" ref="N261:N324" ca="1" si="133">DEGREES(Beta)</f>
        <v>72.240100272931628</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8.0499999999999989</v>
      </c>
      <c r="T261" s="304">
        <f t="shared" ca="1" si="117"/>
        <v>78.970499999999987</v>
      </c>
      <c r="U261" s="311">
        <f t="shared" ca="1" si="118"/>
        <v>0</v>
      </c>
      <c r="V261" s="306">
        <f t="shared" ca="1" si="119"/>
        <v>1.1075910794100543</v>
      </c>
      <c r="W261" s="304">
        <f t="shared" ca="1" si="120"/>
        <v>28.750326088593742</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1006.6824110434319</v>
      </c>
      <c r="AG261" s="306">
        <f t="shared" ref="AG261:AG324" ca="1" si="143">IF(AND(L260&lt;L_rampe,Poussee&lt;Poids*SIN(M260)),0,(-W260+Poussee)/m-Poids*SIN(M260)/m)</f>
        <v>-13.029349224638084</v>
      </c>
      <c r="AH261" s="304">
        <f t="shared" ref="AH261:AH324" ca="1" si="144">IF(AND(L260&lt;L_rampe,Poussee&lt;Poids*SIN(M260)), g*SIN(M260), (-W260+Poussee)/m)</f>
        <v>-3.6772148621536132</v>
      </c>
    </row>
    <row r="262" spans="1:34" x14ac:dyDescent="0.3">
      <c r="A262" s="347">
        <f t="shared" ca="1" si="122"/>
        <v>0.1</v>
      </c>
      <c r="B262" s="304">
        <f t="shared" ca="1" si="123"/>
        <v>7.7999999999999892</v>
      </c>
      <c r="D262" s="306">
        <f t="shared" ca="1" si="124"/>
        <v>-1.0894011136507533</v>
      </c>
      <c r="E262" s="307">
        <f t="shared" ca="1" si="125"/>
        <v>-13.211263970669648</v>
      </c>
      <c r="F262" s="304">
        <f t="shared" ca="1" si="126"/>
        <v>13.256103895531954</v>
      </c>
      <c r="G262" s="306">
        <f t="shared" ca="1" si="127"/>
        <v>27.770332587304615</v>
      </c>
      <c r="H262" s="307">
        <f t="shared" ca="1" si="128"/>
        <v>85.721896205220091</v>
      </c>
      <c r="I262" s="304">
        <f t="shared" ca="1" si="129"/>
        <v>90.107906761993092</v>
      </c>
      <c r="J262" s="306">
        <f t="shared" ca="1" si="130"/>
        <v>237.31343402654929</v>
      </c>
      <c r="K262" s="307">
        <f t="shared" ca="1" si="131"/>
        <v>1015.3206569838072</v>
      </c>
      <c r="L262" s="304">
        <f t="shared" ca="1" si="116"/>
        <v>1042.6858119623107</v>
      </c>
      <c r="M262" s="306">
        <f t="shared" ca="1" si="132"/>
        <v>1.257506762700922</v>
      </c>
      <c r="N262" s="304">
        <f t="shared" ca="1" si="133"/>
        <v>72.049830211921957</v>
      </c>
      <c r="P262" s="310">
        <f t="shared" ca="1" si="134"/>
        <v>23</v>
      </c>
      <c r="Q262" s="304">
        <f t="shared" ca="1" si="135"/>
        <v>0</v>
      </c>
      <c r="R262" s="306">
        <f t="shared" ca="1" si="136"/>
        <v>0</v>
      </c>
      <c r="S262" s="307">
        <f t="shared" ca="1" si="137"/>
        <v>8.0499999999999989</v>
      </c>
      <c r="T262" s="304">
        <f t="shared" ca="1" si="117"/>
        <v>78.970499999999987</v>
      </c>
      <c r="U262" s="311">
        <f t="shared" ca="1" si="118"/>
        <v>0</v>
      </c>
      <c r="V262" s="306">
        <f t="shared" ca="1" si="119"/>
        <v>1.1066322791256735</v>
      </c>
      <c r="W262" s="304">
        <f t="shared" ca="1" si="120"/>
        <v>27.919743398483963</v>
      </c>
      <c r="Y262" s="314" t="str">
        <f t="shared" ca="1" si="138"/>
        <v/>
      </c>
      <c r="Z262" s="315" t="str">
        <f t="shared" ca="1" si="139"/>
        <v/>
      </c>
      <c r="AA262" s="316" t="str">
        <f t="shared" ca="1" si="140"/>
        <v/>
      </c>
      <c r="AC262" s="310" t="e">
        <f t="shared" ca="1" si="141"/>
        <v>#N/A</v>
      </c>
      <c r="AD262" s="323" t="e">
        <f t="shared" ca="1" si="142"/>
        <v>#N/A</v>
      </c>
      <c r="AE262" s="324">
        <f t="shared" ca="1" si="121"/>
        <v>1015.3206569838072</v>
      </c>
      <c r="AG262" s="306">
        <f t="shared" ca="1" si="143"/>
        <v>-12.913954989508412</v>
      </c>
      <c r="AH262" s="304">
        <f t="shared" ca="1" si="144"/>
        <v>-3.5714690793284154</v>
      </c>
    </row>
    <row r="263" spans="1:34" x14ac:dyDescent="0.3">
      <c r="A263" s="347">
        <f t="shared" ca="1" si="122"/>
        <v>0.1</v>
      </c>
      <c r="B263" s="304">
        <f t="shared" ca="1" si="123"/>
        <v>7.8999999999999888</v>
      </c>
      <c r="D263" s="306">
        <f t="shared" ca="1" si="124"/>
        <v>-1.0688917428855622</v>
      </c>
      <c r="E263" s="307">
        <f t="shared" ca="1" si="125"/>
        <v>-13.109471720412202</v>
      </c>
      <c r="F263" s="304">
        <f t="shared" ca="1" si="126"/>
        <v>13.152976026219168</v>
      </c>
      <c r="G263" s="306">
        <f t="shared" ca="1" si="127"/>
        <v>27.663443413016058</v>
      </c>
      <c r="H263" s="307">
        <f t="shared" ca="1" si="128"/>
        <v>84.410949033178866</v>
      </c>
      <c r="I263" s="304">
        <f t="shared" ca="1" si="129"/>
        <v>88.828342425979457</v>
      </c>
      <c r="J263" s="306">
        <f t="shared" ca="1" si="130"/>
        <v>240.08512282656531</v>
      </c>
      <c r="K263" s="307">
        <f t="shared" ca="1" si="131"/>
        <v>1023.8272992457272</v>
      </c>
      <c r="L263" s="304">
        <f t="shared" ca="1" si="116"/>
        <v>1051.6003066200801</v>
      </c>
      <c r="M263" s="306">
        <f t="shared" ca="1" si="132"/>
        <v>1.2541031787442962</v>
      </c>
      <c r="N263" s="304">
        <f t="shared" ca="1" si="133"/>
        <v>71.854819215988869</v>
      </c>
      <c r="P263" s="310">
        <f t="shared" ca="1" si="134"/>
        <v>23</v>
      </c>
      <c r="Q263" s="304">
        <f t="shared" ca="1" si="135"/>
        <v>0</v>
      </c>
      <c r="R263" s="306">
        <f t="shared" ca="1" si="136"/>
        <v>0</v>
      </c>
      <c r="S263" s="307">
        <f t="shared" ca="1" si="137"/>
        <v>8.0499999999999989</v>
      </c>
      <c r="T263" s="304">
        <f t="shared" ca="1" si="117"/>
        <v>78.970499999999987</v>
      </c>
      <c r="U263" s="311">
        <f t="shared" ca="1" si="118"/>
        <v>0</v>
      </c>
      <c r="V263" s="306">
        <f t="shared" ca="1" si="119"/>
        <v>1.1056888561512288</v>
      </c>
      <c r="W263" s="304">
        <f t="shared" ca="1" si="120"/>
        <v>27.10930197393575</v>
      </c>
      <c r="Y263" s="314" t="str">
        <f t="shared" ca="1" si="138"/>
        <v/>
      </c>
      <c r="Z263" s="315" t="str">
        <f t="shared" ca="1" si="139"/>
        <v/>
      </c>
      <c r="AA263" s="316" t="str">
        <f t="shared" ca="1" si="140"/>
        <v/>
      </c>
      <c r="AC263" s="310" t="e">
        <f t="shared" ca="1" si="141"/>
        <v>#N/A</v>
      </c>
      <c r="AD263" s="323" t="e">
        <f t="shared" ca="1" si="142"/>
        <v>#N/A</v>
      </c>
      <c r="AE263" s="324">
        <f t="shared" ca="1" si="121"/>
        <v>1023.8272992457272</v>
      </c>
      <c r="AG263" s="306">
        <f t="shared" ca="1" si="143"/>
        <v>-12.800788463201954</v>
      </c>
      <c r="AH263" s="304">
        <f t="shared" ca="1" si="144"/>
        <v>-3.4682911054017351</v>
      </c>
    </row>
    <row r="264" spans="1:34" x14ac:dyDescent="0.3">
      <c r="A264" s="347">
        <f t="shared" ca="1" si="122"/>
        <v>0.1</v>
      </c>
      <c r="B264" s="304">
        <f t="shared" ca="1" si="123"/>
        <v>7.9999999999999885</v>
      </c>
      <c r="D264" s="306">
        <f t="shared" ca="1" si="124"/>
        <v>-1.0487624630950556</v>
      </c>
      <c r="E264" s="307">
        <f t="shared" ca="1" si="125"/>
        <v>-13.010145169873343</v>
      </c>
      <c r="F264" s="304">
        <f t="shared" ca="1" si="126"/>
        <v>13.052347683278127</v>
      </c>
      <c r="G264" s="306">
        <f t="shared" ca="1" si="127"/>
        <v>27.558567166706553</v>
      </c>
      <c r="H264" s="307">
        <f t="shared" ca="1" si="128"/>
        <v>83.109934516191529</v>
      </c>
      <c r="I264" s="304">
        <f t="shared" ca="1" si="129"/>
        <v>87.559898581299876</v>
      </c>
      <c r="J264" s="306">
        <f t="shared" ca="1" si="130"/>
        <v>242.84622335555144</v>
      </c>
      <c r="K264" s="307">
        <f t="shared" ca="1" si="131"/>
        <v>1032.2033434231957</v>
      </c>
      <c r="L264" s="304">
        <f t="shared" ca="1" si="116"/>
        <v>1060.3857931772181</v>
      </c>
      <c r="M264" s="306">
        <f t="shared" ca="1" si="132"/>
        <v>1.2506140313285974</v>
      </c>
      <c r="N264" s="304">
        <f t="shared" ca="1" si="133"/>
        <v>71.654905794970347</v>
      </c>
      <c r="P264" s="310">
        <f t="shared" ca="1" si="134"/>
        <v>23</v>
      </c>
      <c r="Q264" s="304">
        <f t="shared" ca="1" si="135"/>
        <v>0</v>
      </c>
      <c r="R264" s="306">
        <f t="shared" ca="1" si="136"/>
        <v>0</v>
      </c>
      <c r="S264" s="307">
        <f t="shared" ca="1" si="137"/>
        <v>8.0499999999999989</v>
      </c>
      <c r="T264" s="304">
        <f t="shared" ca="1" si="117"/>
        <v>78.970499999999987</v>
      </c>
      <c r="U264" s="311">
        <f t="shared" ca="1" si="118"/>
        <v>0</v>
      </c>
      <c r="V264" s="306">
        <f t="shared" ca="1" si="119"/>
        <v>1.104760662727825</v>
      </c>
      <c r="W264" s="304">
        <f t="shared" ca="1" si="120"/>
        <v>26.318491202074672</v>
      </c>
      <c r="Y264" s="314" t="str">
        <f t="shared" ca="1" si="138"/>
        <v/>
      </c>
      <c r="Z264" s="315" t="str">
        <f t="shared" ca="1" si="139"/>
        <v/>
      </c>
      <c r="AA264" s="316" t="str">
        <f t="shared" ca="1" si="140"/>
        <v/>
      </c>
      <c r="AC264" s="310">
        <f t="shared" ca="1" si="141"/>
        <v>7.9999999999999885</v>
      </c>
      <c r="AD264" s="323">
        <f t="shared" ca="1" si="142"/>
        <v>242.84622335555144</v>
      </c>
      <c r="AE264" s="324">
        <f t="shared" ca="1" si="121"/>
        <v>1032.2033434231957</v>
      </c>
      <c r="AG264" s="306">
        <f t="shared" ca="1" si="143"/>
        <v>-12.68976827794874</v>
      </c>
      <c r="AH264" s="304">
        <f t="shared" ca="1" si="144"/>
        <v>-3.3676151520417084</v>
      </c>
    </row>
    <row r="265" spans="1:34" x14ac:dyDescent="0.3">
      <c r="A265" s="347">
        <f t="shared" ca="1" si="122"/>
        <v>0.1</v>
      </c>
      <c r="B265" s="304">
        <f t="shared" ca="1" si="123"/>
        <v>8.099999999999989</v>
      </c>
      <c r="D265" s="306">
        <f t="shared" ca="1" si="124"/>
        <v>-1.0290026467992743</v>
      </c>
      <c r="E265" s="307">
        <f t="shared" ca="1" si="125"/>
        <v>-12.913221661530807</v>
      </c>
      <c r="F265" s="304">
        <f t="shared" ca="1" si="126"/>
        <v>12.954155322789223</v>
      </c>
      <c r="G265" s="306">
        <f t="shared" ca="1" si="127"/>
        <v>27.455666902026625</v>
      </c>
      <c r="H265" s="307">
        <f t="shared" ca="1" si="128"/>
        <v>81.81861235003845</v>
      </c>
      <c r="I265" s="304">
        <f t="shared" ca="1" si="129"/>
        <v>86.302369445577241</v>
      </c>
      <c r="J265" s="306">
        <f t="shared" ca="1" si="130"/>
        <v>245.59693505898809</v>
      </c>
      <c r="K265" s="307">
        <f t="shared" ca="1" si="131"/>
        <v>1040.4497707665073</v>
      </c>
      <c r="L265" s="304">
        <f t="shared" ca="1" si="116"/>
        <v>1069.0433012738288</v>
      </c>
      <c r="M265" s="306">
        <f t="shared" ca="1" si="132"/>
        <v>1.2470363751759752</v>
      </c>
      <c r="N265" s="304">
        <f t="shared" ca="1" si="133"/>
        <v>71.449921196876076</v>
      </c>
      <c r="P265" s="310">
        <f t="shared" ca="1" si="134"/>
        <v>23</v>
      </c>
      <c r="Q265" s="304">
        <f t="shared" ca="1" si="135"/>
        <v>0</v>
      </c>
      <c r="R265" s="306">
        <f t="shared" ca="1" si="136"/>
        <v>0</v>
      </c>
      <c r="S265" s="307">
        <f t="shared" ca="1" si="137"/>
        <v>8.0499999999999989</v>
      </c>
      <c r="T265" s="304">
        <f t="shared" ca="1" si="117"/>
        <v>78.970499999999987</v>
      </c>
      <c r="U265" s="311">
        <f t="shared" ca="1" si="118"/>
        <v>0</v>
      </c>
      <c r="V265" s="306">
        <f t="shared" ca="1" si="119"/>
        <v>1.1038475547742497</v>
      </c>
      <c r="W265" s="304">
        <f t="shared" ca="1" si="120"/>
        <v>25.546818678897299</v>
      </c>
      <c r="Y265" s="314" t="str">
        <f t="shared" ca="1" si="138"/>
        <v/>
      </c>
      <c r="Z265" s="315" t="str">
        <f t="shared" ca="1" si="139"/>
        <v/>
      </c>
      <c r="AA265" s="316" t="str">
        <f t="shared" ca="1" si="140"/>
        <v/>
      </c>
      <c r="AC265" s="310" t="e">
        <f t="shared" ca="1" si="141"/>
        <v>#N/A</v>
      </c>
      <c r="AD265" s="323" t="e">
        <f t="shared" ca="1" si="142"/>
        <v>#N/A</v>
      </c>
      <c r="AE265" s="324">
        <f t="shared" ca="1" si="121"/>
        <v>1040.4497707665073</v>
      </c>
      <c r="AG265" s="306">
        <f t="shared" ca="1" si="143"/>
        <v>-12.58081454053546</v>
      </c>
      <c r="AH265" s="304">
        <f t="shared" ca="1" si="144"/>
        <v>-3.2693777890775992</v>
      </c>
    </row>
    <row r="266" spans="1:34" x14ac:dyDescent="0.3">
      <c r="A266" s="347">
        <f t="shared" ca="1" si="122"/>
        <v>0.1</v>
      </c>
      <c r="B266" s="304">
        <f t="shared" ca="1" si="123"/>
        <v>8.1999999999999886</v>
      </c>
      <c r="D266" s="306">
        <f t="shared" ca="1" si="124"/>
        <v>-1.0096020481313328</v>
      </c>
      <c r="E266" s="307">
        <f t="shared" ca="1" si="125"/>
        <v>-12.818640762529249</v>
      </c>
      <c r="F266" s="304">
        <f t="shared" ca="1" si="126"/>
        <v>12.858337656725594</v>
      </c>
      <c r="G266" s="306">
        <f t="shared" ca="1" si="127"/>
        <v>27.354706697213491</v>
      </c>
      <c r="H266" s="307">
        <f t="shared" ca="1" si="128"/>
        <v>80.53674827378552</v>
      </c>
      <c r="I266" s="304">
        <f t="shared" ca="1" si="129"/>
        <v>85.055557143585105</v>
      </c>
      <c r="J266" s="306">
        <f t="shared" ca="1" si="130"/>
        <v>248.3374537389501</v>
      </c>
      <c r="K266" s="307">
        <f t="shared" ca="1" si="131"/>
        <v>1048.5675387976985</v>
      </c>
      <c r="L266" s="304">
        <f t="shared" ca="1" si="116"/>
        <v>1077.5738370755889</v>
      </c>
      <c r="M266" s="306">
        <f t="shared" ca="1" si="132"/>
        <v>1.2433671314024848</v>
      </c>
      <c r="N266" s="304">
        <f t="shared" ca="1" si="133"/>
        <v>71.239689014650423</v>
      </c>
      <c r="P266" s="310">
        <f t="shared" ca="1" si="134"/>
        <v>23</v>
      </c>
      <c r="Q266" s="304">
        <f t="shared" ca="1" si="135"/>
        <v>0</v>
      </c>
      <c r="R266" s="306">
        <f t="shared" ca="1" si="136"/>
        <v>0</v>
      </c>
      <c r="S266" s="307">
        <f t="shared" ca="1" si="137"/>
        <v>8.0499999999999989</v>
      </c>
      <c r="T266" s="304">
        <f t="shared" ca="1" si="117"/>
        <v>78.970499999999987</v>
      </c>
      <c r="U266" s="311">
        <f t="shared" ca="1" si="118"/>
        <v>0</v>
      </c>
      <c r="V266" s="306">
        <f t="shared" ca="1" si="119"/>
        <v>1.1029493917902453</v>
      </c>
      <c r="W266" s="304">
        <f t="shared" ca="1" si="120"/>
        <v>24.793809472574861</v>
      </c>
      <c r="Y266" s="314" t="str">
        <f t="shared" ca="1" si="138"/>
        <v/>
      </c>
      <c r="Z266" s="315" t="str">
        <f t="shared" ca="1" si="139"/>
        <v/>
      </c>
      <c r="AA266" s="316" t="str">
        <f t="shared" ca="1" si="140"/>
        <v/>
      </c>
      <c r="AC266" s="310" t="e">
        <f t="shared" ca="1" si="141"/>
        <v>#N/A</v>
      </c>
      <c r="AD266" s="323" t="e">
        <f t="shared" ca="1" si="142"/>
        <v>#N/A</v>
      </c>
      <c r="AE266" s="324">
        <f t="shared" ca="1" si="121"/>
        <v>1048.5675387976985</v>
      </c>
      <c r="AG266" s="306">
        <f t="shared" ca="1" si="143"/>
        <v>-12.473848677118196</v>
      </c>
      <c r="AH266" s="304">
        <f t="shared" ca="1" si="144"/>
        <v>-3.1735178483102238</v>
      </c>
    </row>
    <row r="267" spans="1:34" x14ac:dyDescent="0.3">
      <c r="A267" s="347">
        <f t="shared" ca="1" si="122"/>
        <v>0.1</v>
      </c>
      <c r="B267" s="304">
        <f t="shared" ca="1" si="123"/>
        <v>8.2999999999999883</v>
      </c>
      <c r="D267" s="306">
        <f t="shared" ca="1" si="124"/>
        <v>-0.99055078851468437</v>
      </c>
      <c r="E267" s="307">
        <f t="shared" ca="1" si="125"/>
        <v>-12.726344173967448</v>
      </c>
      <c r="F267" s="304">
        <f t="shared" ca="1" si="126"/>
        <v>12.76483556098167</v>
      </c>
      <c r="G267" s="306">
        <f t="shared" ca="1" si="127"/>
        <v>27.255651618362023</v>
      </c>
      <c r="H267" s="307">
        <f t="shared" ca="1" si="128"/>
        <v>79.264113856388775</v>
      </c>
      <c r="I267" s="304">
        <f t="shared" ca="1" si="129"/>
        <v>83.819271594187001</v>
      </c>
      <c r="J267" s="306">
        <f t="shared" ca="1" si="130"/>
        <v>251.06797165472886</v>
      </c>
      <c r="K267" s="307">
        <f t="shared" ca="1" si="131"/>
        <v>1056.5575819042072</v>
      </c>
      <c r="L267" s="304">
        <f t="shared" ca="1" si="116"/>
        <v>1085.9783838871219</v>
      </c>
      <c r="M267" s="306">
        <f t="shared" ca="1" si="132"/>
        <v>1.2396030802275975</v>
      </c>
      <c r="N267" s="304">
        <f t="shared" ca="1" si="133"/>
        <v>71.024024768458119</v>
      </c>
      <c r="P267" s="310">
        <f t="shared" ca="1" si="134"/>
        <v>23</v>
      </c>
      <c r="Q267" s="304">
        <f t="shared" ca="1" si="135"/>
        <v>0</v>
      </c>
      <c r="R267" s="306">
        <f t="shared" ca="1" si="136"/>
        <v>0</v>
      </c>
      <c r="S267" s="307">
        <f t="shared" ca="1" si="137"/>
        <v>8.0499999999999989</v>
      </c>
      <c r="T267" s="304">
        <f t="shared" ca="1" si="117"/>
        <v>78.970499999999987</v>
      </c>
      <c r="U267" s="311">
        <f t="shared" ca="1" si="118"/>
        <v>0</v>
      </c>
      <c r="V267" s="306">
        <f t="shared" ca="1" si="119"/>
        <v>1.1020660367632984</v>
      </c>
      <c r="W267" s="304">
        <f t="shared" ca="1" si="120"/>
        <v>24.05900542232607</v>
      </c>
      <c r="Y267" s="314" t="str">
        <f t="shared" ca="1" si="138"/>
        <v/>
      </c>
      <c r="Z267" s="315" t="str">
        <f t="shared" ca="1" si="139"/>
        <v/>
      </c>
      <c r="AA267" s="316" t="str">
        <f t="shared" ca="1" si="140"/>
        <v/>
      </c>
      <c r="AC267" s="310" t="e">
        <f t="shared" ca="1" si="141"/>
        <v>#N/A</v>
      </c>
      <c r="AD267" s="323" t="e">
        <f t="shared" ca="1" si="142"/>
        <v>#N/A</v>
      </c>
      <c r="AE267" s="324">
        <f t="shared" ca="1" si="121"/>
        <v>1056.5575819042072</v>
      </c>
      <c r="AG267" s="306">
        <f t="shared" ca="1" si="143"/>
        <v>-12.368793278220629</v>
      </c>
      <c r="AH267" s="304">
        <f t="shared" ca="1" si="144"/>
        <v>-3.0799763319968774</v>
      </c>
    </row>
    <row r="268" spans="1:34" x14ac:dyDescent="0.3">
      <c r="A268" s="347">
        <f t="shared" ca="1" si="122"/>
        <v>0.1</v>
      </c>
      <c r="B268" s="304">
        <f t="shared" ca="1" si="123"/>
        <v>8.3999999999999879</v>
      </c>
      <c r="D268" s="306">
        <f t="shared" ca="1" si="124"/>
        <v>-0.97183934313144882</v>
      </c>
      <c r="E268" s="307">
        <f t="shared" ca="1" si="125"/>
        <v>-12.636275644504977</v>
      </c>
      <c r="F268" s="304">
        <f t="shared" ca="1" si="126"/>
        <v>12.673591987781831</v>
      </c>
      <c r="G268" s="306">
        <f t="shared" ca="1" si="127"/>
        <v>27.15846768404888</v>
      </c>
      <c r="H268" s="307">
        <f t="shared" ca="1" si="128"/>
        <v>78.000486291938273</v>
      </c>
      <c r="I268" s="304">
        <f t="shared" ca="1" si="129"/>
        <v>82.593330413081048</v>
      </c>
      <c r="J268" s="306">
        <f t="shared" ca="1" si="130"/>
        <v>253.78867761984941</v>
      </c>
      <c r="K268" s="307">
        <f t="shared" ca="1" si="131"/>
        <v>1064.4208119116236</v>
      </c>
      <c r="L268" s="304">
        <f t="shared" ca="1" si="116"/>
        <v>1094.2579027444269</v>
      </c>
      <c r="M268" s="306">
        <f t="shared" ca="1" si="132"/>
        <v>1.2357408532274927</v>
      </c>
      <c r="N268" s="304">
        <f t="shared" ca="1" si="133"/>
        <v>70.80273546183065</v>
      </c>
      <c r="P268" s="310">
        <f t="shared" ca="1" si="134"/>
        <v>23</v>
      </c>
      <c r="Q268" s="304">
        <f t="shared" ca="1" si="135"/>
        <v>0</v>
      </c>
      <c r="R268" s="306">
        <f t="shared" ca="1" si="136"/>
        <v>0</v>
      </c>
      <c r="S268" s="307">
        <f t="shared" ca="1" si="137"/>
        <v>8.0499999999999989</v>
      </c>
      <c r="T268" s="304">
        <f t="shared" ca="1" si="117"/>
        <v>78.970499999999987</v>
      </c>
      <c r="U268" s="311">
        <f t="shared" ca="1" si="118"/>
        <v>0</v>
      </c>
      <c r="V268" s="306">
        <f t="shared" ca="1" si="119"/>
        <v>1.1011973560787969</v>
      </c>
      <c r="W268" s="304">
        <f t="shared" ca="1" si="120"/>
        <v>23.34196447092538</v>
      </c>
      <c r="Y268" s="314" t="str">
        <f t="shared" ca="1" si="138"/>
        <v/>
      </c>
      <c r="Z268" s="315" t="str">
        <f t="shared" ca="1" si="139"/>
        <v/>
      </c>
      <c r="AA268" s="316" t="str">
        <f t="shared" ca="1" si="140"/>
        <v/>
      </c>
      <c r="AC268" s="310" t="e">
        <f t="shared" ca="1" si="141"/>
        <v>#N/A</v>
      </c>
      <c r="AD268" s="323" t="e">
        <f t="shared" ca="1" si="142"/>
        <v>#N/A</v>
      </c>
      <c r="AE268" s="324">
        <f t="shared" ca="1" si="121"/>
        <v>1064.4208119116236</v>
      </c>
      <c r="AG268" s="306">
        <f t="shared" ca="1" si="143"/>
        <v>-12.265571943284023</v>
      </c>
      <c r="AH268" s="304">
        <f t="shared" ca="1" si="144"/>
        <v>-2.9886963257547916</v>
      </c>
    </row>
    <row r="269" spans="1:34" x14ac:dyDescent="0.3">
      <c r="A269" s="347">
        <f t="shared" ca="1" si="122"/>
        <v>0.1</v>
      </c>
      <c r="B269" s="304">
        <f t="shared" ca="1" si="123"/>
        <v>8.4999999999999876</v>
      </c>
      <c r="D269" s="306">
        <f t="shared" ca="1" si="124"/>
        <v>-0.95345852814700394</v>
      </c>
      <c r="E269" s="307">
        <f t="shared" ca="1" si="125"/>
        <v>-12.548380888047754</v>
      </c>
      <c r="F269" s="304">
        <f t="shared" ca="1" si="126"/>
        <v>12.584551882225224</v>
      </c>
      <c r="G269" s="306">
        <f t="shared" ca="1" si="127"/>
        <v>27.063121831234181</v>
      </c>
      <c r="H269" s="307">
        <f t="shared" ca="1" si="128"/>
        <v>76.745648203133499</v>
      </c>
      <c r="I269" s="304">
        <f t="shared" ca="1" si="129"/>
        <v>81.377558831482233</v>
      </c>
      <c r="J269" s="306">
        <f t="shared" ca="1" si="130"/>
        <v>256.49975709561357</v>
      </c>
      <c r="K269" s="307">
        <f t="shared" ca="1" si="131"/>
        <v>1072.1581186363771</v>
      </c>
      <c r="L269" s="304">
        <f t="shared" ca="1" si="116"/>
        <v>1102.4133329872261</v>
      </c>
      <c r="M269" s="306">
        <f t="shared" ca="1" si="132"/>
        <v>1.2317769251011299</v>
      </c>
      <c r="N269" s="304">
        <f t="shared" ca="1" si="133"/>
        <v>70.575619109896863</v>
      </c>
      <c r="P269" s="310">
        <f t="shared" ca="1" si="134"/>
        <v>23</v>
      </c>
      <c r="Q269" s="304">
        <f t="shared" ca="1" si="135"/>
        <v>0</v>
      </c>
      <c r="R269" s="306">
        <f t="shared" ca="1" si="136"/>
        <v>0</v>
      </c>
      <c r="S269" s="307">
        <f t="shared" ca="1" si="137"/>
        <v>8.0499999999999989</v>
      </c>
      <c r="T269" s="304">
        <f t="shared" ca="1" si="117"/>
        <v>78.970499999999987</v>
      </c>
      <c r="U269" s="311">
        <f t="shared" ca="1" si="118"/>
        <v>0</v>
      </c>
      <c r="V269" s="306">
        <f t="shared" ca="1" si="119"/>
        <v>1.1003432194334206</v>
      </c>
      <c r="W269" s="304">
        <f t="shared" ca="1" si="120"/>
        <v>22.64226002903121</v>
      </c>
      <c r="Y269" s="314" t="str">
        <f t="shared" ca="1" si="138"/>
        <v/>
      </c>
      <c r="Z269" s="315" t="str">
        <f t="shared" ca="1" si="139"/>
        <v/>
      </c>
      <c r="AA269" s="316" t="str">
        <f t="shared" ca="1" si="140"/>
        <v/>
      </c>
      <c r="AC269" s="310" t="e">
        <f t="shared" ca="1" si="141"/>
        <v>#N/A</v>
      </c>
      <c r="AD269" s="323" t="e">
        <f t="shared" ca="1" si="142"/>
        <v>#N/A</v>
      </c>
      <c r="AE269" s="324">
        <f t="shared" ca="1" si="121"/>
        <v>1072.1581186363771</v>
      </c>
      <c r="AG269" s="306">
        <f t="shared" ca="1" si="143"/>
        <v>-12.16410912411677</v>
      </c>
      <c r="AH269" s="304">
        <f t="shared" ca="1" si="144"/>
        <v>-2.8996229156429045</v>
      </c>
    </row>
    <row r="270" spans="1:34" x14ac:dyDescent="0.3">
      <c r="A270" s="347">
        <f t="shared" ca="1" si="122"/>
        <v>0.1</v>
      </c>
      <c r="B270" s="304">
        <f t="shared" ca="1" si="123"/>
        <v>8.5999999999999872</v>
      </c>
      <c r="D270" s="306">
        <f t="shared" ca="1" si="124"/>
        <v>-0.93539948865885048</v>
      </c>
      <c r="E270" s="307">
        <f t="shared" ca="1" si="125"/>
        <v>-12.462607505286071</v>
      </c>
      <c r="F270" s="304">
        <f t="shared" ca="1" si="126"/>
        <v>12.497662102737292</v>
      </c>
      <c r="G270" s="306">
        <f t="shared" ca="1" si="127"/>
        <v>26.969581882368296</v>
      </c>
      <c r="H270" s="307">
        <f t="shared" ca="1" si="128"/>
        <v>75.499387452604893</v>
      </c>
      <c r="I270" s="304">
        <f t="shared" ca="1" si="129"/>
        <v>80.171789630943877</v>
      </c>
      <c r="J270" s="306">
        <f t="shared" ca="1" si="130"/>
        <v>259.20139228129369</v>
      </c>
      <c r="K270" s="307">
        <f t="shared" ca="1" si="131"/>
        <v>1079.770370419164</v>
      </c>
      <c r="L270" s="304">
        <f t="shared" ca="1" si="116"/>
        <v>1110.4455928120476</v>
      </c>
      <c r="M270" s="306">
        <f t="shared" ca="1" si="132"/>
        <v>1.2277076049159568</v>
      </c>
      <c r="N270" s="304">
        <f t="shared" ca="1" si="133"/>
        <v>70.342464237799035</v>
      </c>
      <c r="P270" s="310">
        <f t="shared" ca="1" si="134"/>
        <v>23</v>
      </c>
      <c r="Q270" s="304">
        <f t="shared" ca="1" si="135"/>
        <v>0</v>
      </c>
      <c r="R270" s="306">
        <f t="shared" ca="1" si="136"/>
        <v>0</v>
      </c>
      <c r="S270" s="307">
        <f t="shared" ca="1" si="137"/>
        <v>8.0499999999999989</v>
      </c>
      <c r="T270" s="304">
        <f t="shared" ca="1" si="117"/>
        <v>78.970499999999987</v>
      </c>
      <c r="U270" s="311">
        <f t="shared" ca="1" si="118"/>
        <v>0</v>
      </c>
      <c r="V270" s="306">
        <f t="shared" ca="1" si="119"/>
        <v>1.0995034997516273</v>
      </c>
      <c r="W270" s="304">
        <f t="shared" ca="1" si="120"/>
        <v>21.959480369628739</v>
      </c>
      <c r="Y270" s="314" t="str">
        <f t="shared" ca="1" si="138"/>
        <v/>
      </c>
      <c r="Z270" s="315" t="str">
        <f t="shared" ca="1" si="139"/>
        <v/>
      </c>
      <c r="AA270" s="316" t="str">
        <f t="shared" ca="1" si="140"/>
        <v/>
      </c>
      <c r="AC270" s="310" t="e">
        <f t="shared" ca="1" si="141"/>
        <v>#N/A</v>
      </c>
      <c r="AD270" s="323" t="e">
        <f t="shared" ca="1" si="142"/>
        <v>#N/A</v>
      </c>
      <c r="AE270" s="324">
        <f t="shared" ca="1" si="121"/>
        <v>1079.770370419164</v>
      </c>
      <c r="AG270" s="306">
        <f t="shared" ca="1" si="143"/>
        <v>-12.064329966568774</v>
      </c>
      <c r="AH270" s="304">
        <f t="shared" ca="1" si="144"/>
        <v>-2.8127031091964239</v>
      </c>
    </row>
    <row r="271" spans="1:34" x14ac:dyDescent="0.3">
      <c r="A271" s="347">
        <f t="shared" ca="1" si="122"/>
        <v>0.1</v>
      </c>
      <c r="B271" s="304">
        <f t="shared" ca="1" si="123"/>
        <v>8.6999999999999869</v>
      </c>
      <c r="D271" s="306">
        <f t="shared" ca="1" si="124"/>
        <v>-0.91765368734050845</v>
      </c>
      <c r="E271" s="307">
        <f t="shared" ca="1" si="125"/>
        <v>-12.378904908871679</v>
      </c>
      <c r="F271" s="304">
        <f t="shared" ca="1" si="126"/>
        <v>12.41287134521167</v>
      </c>
      <c r="G271" s="306">
        <f t="shared" ca="1" si="127"/>
        <v>26.877816513634244</v>
      </c>
      <c r="H271" s="307">
        <f t="shared" ca="1" si="128"/>
        <v>74.261496961717725</v>
      </c>
      <c r="I271" s="304">
        <f t="shared" ca="1" si="129"/>
        <v>78.975863094592398</v>
      </c>
      <c r="J271" s="306">
        <f t="shared" ca="1" si="130"/>
        <v>261.89376220109381</v>
      </c>
      <c r="K271" s="307">
        <f t="shared" ca="1" si="131"/>
        <v>1087.2584146398801</v>
      </c>
      <c r="L271" s="304">
        <f t="shared" ca="1" si="116"/>
        <v>1118.3555798068289</v>
      </c>
      <c r="M271" s="306">
        <f t="shared" ca="1" si="132"/>
        <v>1.2235290267978765</v>
      </c>
      <c r="N271" s="304">
        <f t="shared" ca="1" si="133"/>
        <v>70.103049347267316</v>
      </c>
      <c r="P271" s="310">
        <f t="shared" ca="1" si="134"/>
        <v>23</v>
      </c>
      <c r="Q271" s="304">
        <f t="shared" ca="1" si="135"/>
        <v>0</v>
      </c>
      <c r="R271" s="306">
        <f t="shared" ca="1" si="136"/>
        <v>0</v>
      </c>
      <c r="S271" s="307">
        <f t="shared" ca="1" si="137"/>
        <v>8.0499999999999989</v>
      </c>
      <c r="T271" s="304">
        <f t="shared" ca="1" si="117"/>
        <v>78.970499999999987</v>
      </c>
      <c r="U271" s="311">
        <f t="shared" ca="1" si="118"/>
        <v>0</v>
      </c>
      <c r="V271" s="306">
        <f t="shared" ca="1" si="119"/>
        <v>1.0986780731051142</v>
      </c>
      <c r="W271" s="304">
        <f t="shared" ca="1" si="120"/>
        <v>21.293228050984709</v>
      </c>
      <c r="Y271" s="314" t="str">
        <f t="shared" ca="1" si="138"/>
        <v/>
      </c>
      <c r="Z271" s="315" t="str">
        <f t="shared" ca="1" si="139"/>
        <v/>
      </c>
      <c r="AA271" s="316" t="str">
        <f t="shared" ca="1" si="140"/>
        <v/>
      </c>
      <c r="AC271" s="310" t="e">
        <f t="shared" ca="1" si="141"/>
        <v>#N/A</v>
      </c>
      <c r="AD271" s="323" t="e">
        <f t="shared" ca="1" si="142"/>
        <v>#N/A</v>
      </c>
      <c r="AE271" s="324">
        <f t="shared" ca="1" si="121"/>
        <v>1087.2584146398801</v>
      </c>
      <c r="AG271" s="306">
        <f t="shared" ca="1" si="143"/>
        <v>-11.966160149728813</v>
      </c>
      <c r="AH271" s="304">
        <f t="shared" ca="1" si="144"/>
        <v>-2.7278857602023283</v>
      </c>
    </row>
    <row r="272" spans="1:34" x14ac:dyDescent="0.3">
      <c r="A272" s="347">
        <f t="shared" ca="1" si="122"/>
        <v>0.1</v>
      </c>
      <c r="B272" s="304">
        <f t="shared" ca="1" si="123"/>
        <v>8.7999999999999865</v>
      </c>
      <c r="D272" s="306">
        <f t="shared" ca="1" si="124"/>
        <v>-0.90021289375377922</v>
      </c>
      <c r="E272" s="307">
        <f t="shared" ca="1" si="125"/>
        <v>-12.297224252032676</v>
      </c>
      <c r="F272" s="304">
        <f t="shared" ca="1" si="126"/>
        <v>12.330130070638393</v>
      </c>
      <c r="G272" s="306">
        <f t="shared" ca="1" si="127"/>
        <v>26.787795224258865</v>
      </c>
      <c r="H272" s="307">
        <f t="shared" ca="1" si="128"/>
        <v>73.031774536514462</v>
      </c>
      <c r="I272" s="304">
        <f t="shared" ca="1" si="129"/>
        <v>77.789626975125088</v>
      </c>
      <c r="J272" s="306">
        <f t="shared" ca="1" si="130"/>
        <v>264.57704278798849</v>
      </c>
      <c r="K272" s="307">
        <f t="shared" ca="1" si="131"/>
        <v>1094.6230782147918</v>
      </c>
      <c r="L272" s="304">
        <f t="shared" ca="1" si="116"/>
        <v>1126.1441714677846</v>
      </c>
      <c r="M272" s="306">
        <f t="shared" ca="1" si="132"/>
        <v>1.2192371400277127</v>
      </c>
      <c r="N272" s="304">
        <f t="shared" ca="1" si="133"/>
        <v>69.857142349188905</v>
      </c>
      <c r="P272" s="310">
        <f t="shared" ca="1" si="134"/>
        <v>23</v>
      </c>
      <c r="Q272" s="304">
        <f t="shared" ca="1" si="135"/>
        <v>0</v>
      </c>
      <c r="R272" s="306">
        <f t="shared" ca="1" si="136"/>
        <v>0</v>
      </c>
      <c r="S272" s="307">
        <f t="shared" ca="1" si="137"/>
        <v>8.0499999999999989</v>
      </c>
      <c r="T272" s="304">
        <f t="shared" ca="1" si="117"/>
        <v>78.970499999999987</v>
      </c>
      <c r="U272" s="311">
        <f t="shared" ca="1" si="118"/>
        <v>0</v>
      </c>
      <c r="V272" s="306">
        <f t="shared" ca="1" si="119"/>
        <v>1.0978668186351308</v>
      </c>
      <c r="W272" s="304">
        <f t="shared" ca="1" si="120"/>
        <v>20.643119366607536</v>
      </c>
      <c r="Y272" s="314" t="str">
        <f t="shared" ca="1" si="138"/>
        <v/>
      </c>
      <c r="Z272" s="315" t="str">
        <f t="shared" ca="1" si="139"/>
        <v/>
      </c>
      <c r="AA272" s="316" t="str">
        <f t="shared" ca="1" si="140"/>
        <v/>
      </c>
      <c r="AC272" s="310" t="e">
        <f t="shared" ca="1" si="141"/>
        <v>#N/A</v>
      </c>
      <c r="AD272" s="323" t="e">
        <f t="shared" ca="1" si="142"/>
        <v>#N/A</v>
      </c>
      <c r="AE272" s="324">
        <f t="shared" ca="1" si="121"/>
        <v>1094.6230782147918</v>
      </c>
      <c r="AG272" s="306">
        <f t="shared" ca="1" si="143"/>
        <v>-11.869525721911275</v>
      </c>
      <c r="AH272" s="304">
        <f t="shared" ca="1" si="144"/>
        <v>-2.6451214970167345</v>
      </c>
    </row>
    <row r="273" spans="1:34" x14ac:dyDescent="0.3">
      <c r="A273" s="347">
        <f t="shared" ca="1" si="122"/>
        <v>0.1</v>
      </c>
      <c r="B273" s="304">
        <f t="shared" ca="1" si="123"/>
        <v>8.8999999999999861</v>
      </c>
      <c r="D273" s="306">
        <f t="shared" ca="1" si="124"/>
        <v>-0.88306917430524412</v>
      </c>
      <c r="E273" s="307">
        <f t="shared" ca="1" si="125"/>
        <v>-12.217518360436134</v>
      </c>
      <c r="F273" s="304">
        <f t="shared" ca="1" si="126"/>
        <v>12.249390436025875</v>
      </c>
      <c r="G273" s="306">
        <f t="shared" ca="1" si="127"/>
        <v>26.699488306828339</v>
      </c>
      <c r="H273" s="307">
        <f t="shared" ca="1" si="128"/>
        <v>71.810022700470853</v>
      </c>
      <c r="I273" s="304">
        <f t="shared" ca="1" si="129"/>
        <v>76.61293648000057</v>
      </c>
      <c r="J273" s="306">
        <f t="shared" ca="1" si="130"/>
        <v>267.25140696454287</v>
      </c>
      <c r="K273" s="307">
        <f t="shared" ca="1" si="131"/>
        <v>1101.8651680766411</v>
      </c>
      <c r="L273" s="304">
        <f t="shared" ca="1" si="116"/>
        <v>1133.8122256992524</v>
      </c>
      <c r="M273" s="306">
        <f t="shared" ca="1" si="132"/>
        <v>1.214827698503929</v>
      </c>
      <c r="N273" s="304">
        <f t="shared" ca="1" si="133"/>
        <v>69.604499959866359</v>
      </c>
      <c r="P273" s="310">
        <f t="shared" ca="1" si="134"/>
        <v>23</v>
      </c>
      <c r="Q273" s="304">
        <f t="shared" ca="1" si="135"/>
        <v>0</v>
      </c>
      <c r="R273" s="306">
        <f t="shared" ca="1" si="136"/>
        <v>0</v>
      </c>
      <c r="S273" s="307">
        <f t="shared" ca="1" si="137"/>
        <v>8.0499999999999989</v>
      </c>
      <c r="T273" s="304">
        <f t="shared" ca="1" si="117"/>
        <v>78.970499999999987</v>
      </c>
      <c r="U273" s="311">
        <f t="shared" ca="1" si="118"/>
        <v>0</v>
      </c>
      <c r="V273" s="306">
        <f t="shared" ca="1" si="119"/>
        <v>1.0970696184775297</v>
      </c>
      <c r="W273" s="304">
        <f t="shared" ca="1" si="120"/>
        <v>20.008783820795742</v>
      </c>
      <c r="Y273" s="314" t="str">
        <f t="shared" ca="1" si="138"/>
        <v/>
      </c>
      <c r="Z273" s="315" t="str">
        <f t="shared" ca="1" si="139"/>
        <v/>
      </c>
      <c r="AA273" s="316" t="str">
        <f t="shared" ca="1" si="140"/>
        <v/>
      </c>
      <c r="AC273" s="310" t="e">
        <f t="shared" ca="1" si="141"/>
        <v>#N/A</v>
      </c>
      <c r="AD273" s="323" t="e">
        <f t="shared" ca="1" si="142"/>
        <v>#N/A</v>
      </c>
      <c r="AE273" s="324">
        <f t="shared" ca="1" si="121"/>
        <v>1101.8651680766411</v>
      </c>
      <c r="AG273" s="306">
        <f t="shared" ca="1" si="143"/>
        <v>-11.774352932661934</v>
      </c>
      <c r="AH273" s="304">
        <f t="shared" ca="1" si="144"/>
        <v>-2.5643626542369615</v>
      </c>
    </row>
    <row r="274" spans="1:34" x14ac:dyDescent="0.3">
      <c r="A274" s="347">
        <f t="shared" ca="1" si="122"/>
        <v>0.1</v>
      </c>
      <c r="B274" s="304">
        <f t="shared" ca="1" si="123"/>
        <v>8.9999999999999858</v>
      </c>
      <c r="D274" s="306">
        <f t="shared" ca="1" si="124"/>
        <v>-0.86621488282528214</v>
      </c>
      <c r="E274" s="307">
        <f t="shared" ca="1" si="125"/>
        <v>-12.139741667118802</v>
      </c>
      <c r="F274" s="304">
        <f t="shared" ca="1" si="126"/>
        <v>12.17060622843449</v>
      </c>
      <c r="G274" s="306">
        <f t="shared" ca="1" si="127"/>
        <v>26.612866818545811</v>
      </c>
      <c r="H274" s="307">
        <f t="shared" ca="1" si="128"/>
        <v>70.596048533758974</v>
      </c>
      <c r="I274" s="304">
        <f t="shared" ca="1" si="129"/>
        <v>75.445654274335169</v>
      </c>
      <c r="J274" s="306">
        <f t="shared" ca="1" si="130"/>
        <v>269.91702472081158</v>
      </c>
      <c r="K274" s="307">
        <f t="shared" ca="1" si="131"/>
        <v>1108.9854716383527</v>
      </c>
      <c r="L274" s="304">
        <f t="shared" ca="1" si="116"/>
        <v>1141.3605812971966</v>
      </c>
      <c r="M274" s="306">
        <f t="shared" ca="1" si="132"/>
        <v>1.2102962495287459</v>
      </c>
      <c r="N274" s="304">
        <f t="shared" ca="1" si="133"/>
        <v>69.344867058509493</v>
      </c>
      <c r="P274" s="310">
        <f t="shared" ca="1" si="134"/>
        <v>23</v>
      </c>
      <c r="Q274" s="304">
        <f t="shared" ca="1" si="135"/>
        <v>0</v>
      </c>
      <c r="R274" s="306">
        <f t="shared" ca="1" si="136"/>
        <v>0</v>
      </c>
      <c r="S274" s="307">
        <f t="shared" ca="1" si="137"/>
        <v>8.0499999999999989</v>
      </c>
      <c r="T274" s="304">
        <f t="shared" ca="1" si="117"/>
        <v>78.970499999999987</v>
      </c>
      <c r="U274" s="311">
        <f t="shared" ca="1" si="118"/>
        <v>0</v>
      </c>
      <c r="V274" s="306">
        <f t="shared" ca="1" si="119"/>
        <v>1.0962863576904494</v>
      </c>
      <c r="W274" s="304">
        <f t="shared" ca="1" si="120"/>
        <v>19.389863628441137</v>
      </c>
      <c r="Y274" s="314" t="str">
        <f t="shared" ca="1" si="138"/>
        <v/>
      </c>
      <c r="Z274" s="315" t="str">
        <f t="shared" ca="1" si="139"/>
        <v/>
      </c>
      <c r="AA274" s="316" t="str">
        <f t="shared" ca="1" si="140"/>
        <v/>
      </c>
      <c r="AC274" s="310">
        <f t="shared" ca="1" si="141"/>
        <v>8.9999999999999858</v>
      </c>
      <c r="AD274" s="323">
        <f t="shared" ca="1" si="142"/>
        <v>269.91702472081158</v>
      </c>
      <c r="AE274" s="324">
        <f t="shared" ca="1" si="121"/>
        <v>1108.9854716383527</v>
      </c>
      <c r="AG274" s="306">
        <f t="shared" ca="1" si="143"/>
        <v>-11.68056805997055</v>
      </c>
      <c r="AH274" s="304">
        <f t="shared" ca="1" si="144"/>
        <v>-2.4855632075522665</v>
      </c>
    </row>
    <row r="275" spans="1:34" x14ac:dyDescent="0.3">
      <c r="A275" s="347">
        <f t="shared" ca="1" si="122"/>
        <v>0.1</v>
      </c>
      <c r="B275" s="304">
        <f t="shared" ca="1" si="123"/>
        <v>9.0999999999999854</v>
      </c>
      <c r="D275" s="306">
        <f t="shared" ca="1" si="124"/>
        <v>-0.84964265175025955</v>
      </c>
      <c r="E275" s="307">
        <f t="shared" ca="1" si="125"/>
        <v>-12.063850150315769</v>
      </c>
      <c r="F275" s="304">
        <f t="shared" ca="1" si="126"/>
        <v>12.093732801949406</v>
      </c>
      <c r="G275" s="306">
        <f t="shared" ca="1" si="127"/>
        <v>26.527902553370787</v>
      </c>
      <c r="H275" s="307">
        <f t="shared" ca="1" si="128"/>
        <v>69.389663518727403</v>
      </c>
      <c r="I275" s="304">
        <f t="shared" ca="1" si="129"/>
        <v>74.287650502107979</v>
      </c>
      <c r="J275" s="306">
        <f t="shared" ca="1" si="130"/>
        <v>272.57406318940741</v>
      </c>
      <c r="K275" s="307">
        <f t="shared" ca="1" si="131"/>
        <v>1115.9847572409769</v>
      </c>
      <c r="L275" s="304">
        <f t="shared" ca="1" si="116"/>
        <v>1148.7900584170222</v>
      </c>
      <c r="M275" s="306">
        <f t="shared" ca="1" si="132"/>
        <v>1.2056381218720835</v>
      </c>
      <c r="N275" s="304">
        <f t="shared" ca="1" si="133"/>
        <v>69.077976003349576</v>
      </c>
      <c r="P275" s="310">
        <f t="shared" ca="1" si="134"/>
        <v>23</v>
      </c>
      <c r="Q275" s="304">
        <f t="shared" ca="1" si="135"/>
        <v>0</v>
      </c>
      <c r="R275" s="306">
        <f t="shared" ca="1" si="136"/>
        <v>0</v>
      </c>
      <c r="S275" s="307">
        <f t="shared" ca="1" si="137"/>
        <v>8.0499999999999989</v>
      </c>
      <c r="T275" s="304">
        <f t="shared" ca="1" si="117"/>
        <v>78.970499999999987</v>
      </c>
      <c r="U275" s="311">
        <f t="shared" ca="1" si="118"/>
        <v>0</v>
      </c>
      <c r="V275" s="306">
        <f t="shared" ca="1" si="119"/>
        <v>1.0955169241845182</v>
      </c>
      <c r="W275" s="304">
        <f t="shared" ca="1" si="120"/>
        <v>18.786013237831458</v>
      </c>
      <c r="Y275" s="314" t="str">
        <f t="shared" ca="1" si="138"/>
        <v/>
      </c>
      <c r="Z275" s="315" t="str">
        <f t="shared" ca="1" si="139"/>
        <v/>
      </c>
      <c r="AA275" s="316" t="str">
        <f t="shared" ca="1" si="140"/>
        <v/>
      </c>
      <c r="AC275" s="310" t="e">
        <f t="shared" ca="1" si="141"/>
        <v>#N/A</v>
      </c>
      <c r="AD275" s="323" t="e">
        <f t="shared" ca="1" si="142"/>
        <v>#N/A</v>
      </c>
      <c r="AE275" s="324">
        <f t="shared" ca="1" si="121"/>
        <v>1115.9847572409769</v>
      </c>
      <c r="AG275" s="306">
        <f t="shared" ca="1" si="143"/>
        <v>-11.588097231830616</v>
      </c>
      <c r="AH275" s="304">
        <f t="shared" ca="1" si="144"/>
        <v>-2.4086787116075952</v>
      </c>
    </row>
    <row r="276" spans="1:34" x14ac:dyDescent="0.3">
      <c r="A276" s="347">
        <f t="shared" ca="1" si="122"/>
        <v>0.1</v>
      </c>
      <c r="B276" s="304">
        <f t="shared" ca="1" si="123"/>
        <v>9.1999999999999851</v>
      </c>
      <c r="D276" s="306">
        <f t="shared" ca="1" si="124"/>
        <v>-0.83334538389084534</v>
      </c>
      <c r="E276" s="307">
        <f t="shared" ca="1" si="125"/>
        <v>-11.989801274025822</v>
      </c>
      <c r="F276" s="304">
        <f t="shared" ca="1" si="126"/>
        <v>12.018727017429235</v>
      </c>
      <c r="G276" s="306">
        <f t="shared" ca="1" si="127"/>
        <v>26.444568014981702</v>
      </c>
      <c r="H276" s="307">
        <f t="shared" ca="1" si="128"/>
        <v>68.190683391324825</v>
      </c>
      <c r="I276" s="304">
        <f t="shared" ca="1" si="129"/>
        <v>73.13880282637183</v>
      </c>
      <c r="J276" s="306">
        <f t="shared" ca="1" si="130"/>
        <v>275.22268671782501</v>
      </c>
      <c r="K276" s="307">
        <f t="shared" ca="1" si="131"/>
        <v>1122.8637745864796</v>
      </c>
      <c r="L276" s="304">
        <f t="shared" ca="1" si="116"/>
        <v>1156.1014590263151</v>
      </c>
      <c r="M276" s="306">
        <f t="shared" ca="1" si="132"/>
        <v>1.200848413064951</v>
      </c>
      <c r="N276" s="304">
        <f t="shared" ca="1" si="133"/>
        <v>68.803545903604245</v>
      </c>
      <c r="P276" s="310">
        <f t="shared" ca="1" si="134"/>
        <v>23</v>
      </c>
      <c r="Q276" s="304">
        <f t="shared" ca="1" si="135"/>
        <v>0</v>
      </c>
      <c r="R276" s="306">
        <f t="shared" ca="1" si="136"/>
        <v>0</v>
      </c>
      <c r="S276" s="307">
        <f t="shared" ca="1" si="137"/>
        <v>8.0499999999999989</v>
      </c>
      <c r="T276" s="304">
        <f t="shared" ca="1" si="117"/>
        <v>78.970499999999987</v>
      </c>
      <c r="U276" s="311">
        <f t="shared" ca="1" si="118"/>
        <v>0</v>
      </c>
      <c r="V276" s="306">
        <f t="shared" ca="1" si="119"/>
        <v>1.0947612086554901</v>
      </c>
      <c r="W276" s="304">
        <f t="shared" ca="1" si="120"/>
        <v>18.196898875270403</v>
      </c>
      <c r="Y276" s="314" t="str">
        <f t="shared" ca="1" si="138"/>
        <v/>
      </c>
      <c r="Z276" s="315" t="str">
        <f t="shared" ca="1" si="139"/>
        <v/>
      </c>
      <c r="AA276" s="316" t="str">
        <f t="shared" ca="1" si="140"/>
        <v/>
      </c>
      <c r="AC276" s="310" t="e">
        <f t="shared" ca="1" si="141"/>
        <v>#N/A</v>
      </c>
      <c r="AD276" s="323" t="e">
        <f t="shared" ca="1" si="142"/>
        <v>#N/A</v>
      </c>
      <c r="AE276" s="324">
        <f t="shared" ca="1" si="121"/>
        <v>1122.8637745864796</v>
      </c>
      <c r="AG276" s="306">
        <f t="shared" ca="1" si="143"/>
        <v>-11.496866241233237</v>
      </c>
      <c r="AH276" s="304">
        <f t="shared" ca="1" si="144"/>
        <v>-2.3336662407244049</v>
      </c>
    </row>
    <row r="277" spans="1:34" x14ac:dyDescent="0.3">
      <c r="A277" s="347">
        <f t="shared" ca="1" si="122"/>
        <v>0.1</v>
      </c>
      <c r="B277" s="304">
        <f t="shared" ca="1" si="123"/>
        <v>9.2999999999999847</v>
      </c>
      <c r="D277" s="306">
        <f t="shared" ca="1" si="124"/>
        <v>-0.8173162447716843</v>
      </c>
      <c r="E277" s="307">
        <f t="shared" ca="1" si="125"/>
        <v>-11.91755393116037</v>
      </c>
      <c r="F277" s="304">
        <f t="shared" ca="1" si="126"/>
        <v>11.945547184875362</v>
      </c>
      <c r="G277" s="306">
        <f t="shared" ca="1" si="127"/>
        <v>26.362836390504533</v>
      </c>
      <c r="H277" s="307">
        <f t="shared" ca="1" si="128"/>
        <v>66.998927998208785</v>
      </c>
      <c r="I277" s="304">
        <f t="shared" ca="1" si="129"/>
        <v>71.99899648926835</v>
      </c>
      <c r="J277" s="306">
        <f t="shared" ca="1" si="130"/>
        <v>277.86305693809931</v>
      </c>
      <c r="K277" s="307">
        <f t="shared" ca="1" si="131"/>
        <v>1129.6232551559563</v>
      </c>
      <c r="L277" s="304">
        <f t="shared" ca="1" si="116"/>
        <v>1163.2955673431084</v>
      </c>
      <c r="M277" s="306">
        <f t="shared" ca="1" si="132"/>
        <v>1.1959219758710098</v>
      </c>
      <c r="N277" s="304">
        <f t="shared" ca="1" si="133"/>
        <v>68.52128184435513</v>
      </c>
      <c r="P277" s="310">
        <f t="shared" ca="1" si="134"/>
        <v>23</v>
      </c>
      <c r="Q277" s="304">
        <f t="shared" ca="1" si="135"/>
        <v>0</v>
      </c>
      <c r="R277" s="306">
        <f t="shared" ca="1" si="136"/>
        <v>0</v>
      </c>
      <c r="S277" s="307">
        <f t="shared" ca="1" si="137"/>
        <v>8.0499999999999989</v>
      </c>
      <c r="T277" s="304">
        <f t="shared" ca="1" si="117"/>
        <v>78.970499999999987</v>
      </c>
      <c r="U277" s="311">
        <f t="shared" ca="1" si="118"/>
        <v>0</v>
      </c>
      <c r="V277" s="306">
        <f t="shared" ca="1" si="119"/>
        <v>1.0940191045192083</v>
      </c>
      <c r="W277" s="304">
        <f t="shared" ca="1" si="120"/>
        <v>17.622198110401051</v>
      </c>
      <c r="Y277" s="314" t="str">
        <f t="shared" ca="1" si="138"/>
        <v/>
      </c>
      <c r="Z277" s="315" t="str">
        <f t="shared" ca="1" si="139"/>
        <v/>
      </c>
      <c r="AA277" s="316" t="str">
        <f t="shared" ca="1" si="140"/>
        <v/>
      </c>
      <c r="AC277" s="310" t="e">
        <f t="shared" ca="1" si="141"/>
        <v>#N/A</v>
      </c>
      <c r="AD277" s="323" t="e">
        <f t="shared" ca="1" si="142"/>
        <v>#N/A</v>
      </c>
      <c r="AE277" s="324">
        <f t="shared" ca="1" si="121"/>
        <v>1129.6232551559563</v>
      </c>
      <c r="AG277" s="306">
        <f t="shared" ca="1" si="143"/>
        <v>-11.406800353622842</v>
      </c>
      <c r="AH277" s="304">
        <f t="shared" ca="1" si="144"/>
        <v>-2.2604843323317274</v>
      </c>
    </row>
    <row r="278" spans="1:34" x14ac:dyDescent="0.3">
      <c r="A278" s="347">
        <f t="shared" ca="1" si="122"/>
        <v>0.1</v>
      </c>
      <c r="B278" s="304">
        <f t="shared" ca="1" si="123"/>
        <v>9.3999999999999844</v>
      </c>
      <c r="D278" s="306">
        <f t="shared" ca="1" si="124"/>
        <v>-0.80154865552987753</v>
      </c>
      <c r="E278" s="307">
        <f t="shared" ca="1" si="125"/>
        <v>-11.847068389130172</v>
      </c>
      <c r="F278" s="304">
        <f t="shared" ca="1" si="126"/>
        <v>11.874153008274281</v>
      </c>
      <c r="G278" s="306">
        <f t="shared" ca="1" si="127"/>
        <v>26.282681524951546</v>
      </c>
      <c r="H278" s="307">
        <f t="shared" ca="1" si="128"/>
        <v>65.814221159295769</v>
      </c>
      <c r="I278" s="304">
        <f t="shared" ca="1" si="129"/>
        <v>70.868124392753074</v>
      </c>
      <c r="J278" s="306">
        <f t="shared" ca="1" si="130"/>
        <v>280.49533283387211</v>
      </c>
      <c r="K278" s="307">
        <f t="shared" ca="1" si="131"/>
        <v>1136.2639126138315</v>
      </c>
      <c r="L278" s="304">
        <f t="shared" ca="1" si="116"/>
        <v>1170.3731502602398</v>
      </c>
      <c r="M278" s="306">
        <f t="shared" ca="1" si="132"/>
        <v>1.1908534038820933</v>
      </c>
      <c r="N278" s="304">
        <f t="shared" ca="1" si="133"/>
        <v>68.230874061231987</v>
      </c>
      <c r="P278" s="310">
        <f t="shared" ca="1" si="134"/>
        <v>23</v>
      </c>
      <c r="Q278" s="304">
        <f t="shared" ca="1" si="135"/>
        <v>0</v>
      </c>
      <c r="R278" s="306">
        <f t="shared" ca="1" si="136"/>
        <v>0</v>
      </c>
      <c r="S278" s="307">
        <f t="shared" ca="1" si="137"/>
        <v>8.0499999999999989</v>
      </c>
      <c r="T278" s="304">
        <f t="shared" ca="1" si="117"/>
        <v>78.970499999999987</v>
      </c>
      <c r="U278" s="311">
        <f t="shared" ca="1" si="118"/>
        <v>0</v>
      </c>
      <c r="V278" s="306">
        <f t="shared" ca="1" si="119"/>
        <v>1.0932905078488102</v>
      </c>
      <c r="W278" s="304">
        <f t="shared" ca="1" si="120"/>
        <v>17.061599441182789</v>
      </c>
      <c r="Y278" s="314" t="str">
        <f t="shared" ca="1" si="138"/>
        <v/>
      </c>
      <c r="Z278" s="315" t="str">
        <f t="shared" ca="1" si="139"/>
        <v/>
      </c>
      <c r="AA278" s="316" t="str">
        <f t="shared" ca="1" si="140"/>
        <v/>
      </c>
      <c r="AC278" s="310" t="e">
        <f t="shared" ca="1" si="141"/>
        <v>#N/A</v>
      </c>
      <c r="AD278" s="323" t="e">
        <f t="shared" ca="1" si="142"/>
        <v>#N/A</v>
      </c>
      <c r="AE278" s="324">
        <f t="shared" ca="1" si="121"/>
        <v>1136.2639126138315</v>
      </c>
      <c r="AG278" s="306">
        <f t="shared" ca="1" si="143"/>
        <v>-11.317824105776387</v>
      </c>
      <c r="AH278" s="304">
        <f t="shared" ca="1" si="144"/>
        <v>-2.1890929329690749</v>
      </c>
    </row>
    <row r="279" spans="1:34" x14ac:dyDescent="0.3">
      <c r="A279" s="347">
        <f t="shared" ca="1" si="122"/>
        <v>0.1</v>
      </c>
      <c r="B279" s="304">
        <f t="shared" ca="1" si="123"/>
        <v>9.499999999999984</v>
      </c>
      <c r="D279" s="306">
        <f t="shared" ca="1" si="124"/>
        <v>-0.78603628636197098</v>
      </c>
      <c r="E279" s="307">
        <f t="shared" ca="1" si="125"/>
        <v>-11.778306237730957</v>
      </c>
      <c r="F279" s="304">
        <f t="shared" ca="1" si="126"/>
        <v>11.804505532772209</v>
      </c>
      <c r="G279" s="306">
        <f t="shared" ca="1" si="127"/>
        <v>26.204077896315347</v>
      </c>
      <c r="H279" s="307">
        <f t="shared" ca="1" si="128"/>
        <v>64.636390535522679</v>
      </c>
      <c r="I279" s="304">
        <f t="shared" ca="1" si="129"/>
        <v>69.746087201052134</v>
      </c>
      <c r="J279" s="306">
        <f t="shared" ca="1" si="130"/>
        <v>283.11967080493548</v>
      </c>
      <c r="K279" s="307">
        <f t="shared" ca="1" si="131"/>
        <v>1142.7864431985724</v>
      </c>
      <c r="L279" s="304">
        <f t="shared" ca="1" si="116"/>
        <v>1177.334957756347</v>
      </c>
      <c r="M279" s="306">
        <f t="shared" ca="1" si="132"/>
        <v>1.185637016180513</v>
      </c>
      <c r="N279" s="304">
        <f t="shared" ca="1" si="133"/>
        <v>67.931997061627484</v>
      </c>
      <c r="P279" s="310">
        <f t="shared" ca="1" si="134"/>
        <v>23</v>
      </c>
      <c r="Q279" s="304">
        <f t="shared" ca="1" si="135"/>
        <v>0</v>
      </c>
      <c r="R279" s="306">
        <f t="shared" ca="1" si="136"/>
        <v>0</v>
      </c>
      <c r="S279" s="307">
        <f t="shared" ca="1" si="137"/>
        <v>8.0499999999999989</v>
      </c>
      <c r="T279" s="304">
        <f t="shared" ca="1" si="117"/>
        <v>78.970499999999987</v>
      </c>
      <c r="U279" s="311">
        <f t="shared" ca="1" si="118"/>
        <v>0</v>
      </c>
      <c r="V279" s="306">
        <f t="shared" ca="1" si="119"/>
        <v>1.0925753173140913</v>
      </c>
      <c r="W279" s="304">
        <f t="shared" ca="1" si="120"/>
        <v>16.514801897531804</v>
      </c>
      <c r="Y279" s="314" t="str">
        <f t="shared" ca="1" si="138"/>
        <v/>
      </c>
      <c r="Z279" s="315" t="str">
        <f t="shared" ca="1" si="139"/>
        <v/>
      </c>
      <c r="AA279" s="316" t="str">
        <f t="shared" ca="1" si="140"/>
        <v/>
      </c>
      <c r="AC279" s="310" t="e">
        <f t="shared" ca="1" si="141"/>
        <v>#N/A</v>
      </c>
      <c r="AD279" s="323" t="e">
        <f t="shared" ca="1" si="142"/>
        <v>#N/A</v>
      </c>
      <c r="AE279" s="324">
        <f t="shared" ca="1" si="121"/>
        <v>1142.7864431985724</v>
      </c>
      <c r="AG279" s="306">
        <f t="shared" ca="1" si="143"/>
        <v>-11.229861094995018</v>
      </c>
      <c r="AH279" s="304">
        <f t="shared" ca="1" si="144"/>
        <v>-2.1194533467307815</v>
      </c>
    </row>
    <row r="280" spans="1:34" x14ac:dyDescent="0.3">
      <c r="A280" s="347">
        <f t="shared" ca="1" si="122"/>
        <v>0.1</v>
      </c>
      <c r="B280" s="304">
        <f t="shared" ca="1" si="123"/>
        <v>9.5999999999999837</v>
      </c>
      <c r="D280" s="306">
        <f t="shared" ca="1" si="124"/>
        <v>-0.77077305051134293</v>
      </c>
      <c r="E280" s="307">
        <f t="shared" ca="1" si="125"/>
        <v>-11.711230339195133</v>
      </c>
      <c r="F280" s="304">
        <f t="shared" ca="1" si="126"/>
        <v>11.736567094047523</v>
      </c>
      <c r="G280" s="306">
        <f t="shared" ca="1" si="127"/>
        <v>26.127000591264213</v>
      </c>
      <c r="H280" s="307">
        <f t="shared" ca="1" si="128"/>
        <v>63.465267501603165</v>
      </c>
      <c r="I280" s="304">
        <f t="shared" ca="1" si="129"/>
        <v>68.632793465995306</v>
      </c>
      <c r="J280" s="306">
        <f t="shared" ca="1" si="130"/>
        <v>285.73622472931447</v>
      </c>
      <c r="K280" s="307">
        <f t="shared" ca="1" si="131"/>
        <v>1149.1915261004287</v>
      </c>
      <c r="L280" s="304">
        <f t="shared" ca="1" si="116"/>
        <v>1184.1817232940195</v>
      </c>
      <c r="M280" s="306">
        <f t="shared" ca="1" si="132"/>
        <v>1.180266841008023</v>
      </c>
      <c r="N280" s="304">
        <f t="shared" ca="1" si="133"/>
        <v>67.624308688997871</v>
      </c>
      <c r="P280" s="310">
        <f t="shared" ca="1" si="134"/>
        <v>23</v>
      </c>
      <c r="Q280" s="304">
        <f t="shared" ca="1" si="135"/>
        <v>0</v>
      </c>
      <c r="R280" s="306">
        <f t="shared" ca="1" si="136"/>
        <v>0</v>
      </c>
      <c r="S280" s="307">
        <f t="shared" ca="1" si="137"/>
        <v>8.0499999999999989</v>
      </c>
      <c r="T280" s="304">
        <f t="shared" ca="1" si="117"/>
        <v>78.970499999999987</v>
      </c>
      <c r="U280" s="311">
        <f t="shared" ca="1" si="118"/>
        <v>0</v>
      </c>
      <c r="V280" s="306">
        <f t="shared" ca="1" si="119"/>
        <v>1.0918734341229361</v>
      </c>
      <c r="W280" s="304">
        <f t="shared" ca="1" si="120"/>
        <v>15.981514662690781</v>
      </c>
      <c r="Y280" s="314" t="str">
        <f t="shared" ca="1" si="138"/>
        <v/>
      </c>
      <c r="Z280" s="315" t="str">
        <f t="shared" ca="1" si="139"/>
        <v/>
      </c>
      <c r="AA280" s="316" t="str">
        <f t="shared" ca="1" si="140"/>
        <v/>
      </c>
      <c r="AC280" s="310" t="e">
        <f t="shared" ca="1" si="141"/>
        <v>#N/A</v>
      </c>
      <c r="AD280" s="323" t="e">
        <f t="shared" ca="1" si="142"/>
        <v>#N/A</v>
      </c>
      <c r="AE280" s="324">
        <f t="shared" ca="1" si="121"/>
        <v>1149.1915261004287</v>
      </c>
      <c r="AG280" s="306">
        <f t="shared" ca="1" si="143"/>
        <v>-11.142833757417353</v>
      </c>
      <c r="AH280" s="304">
        <f t="shared" ca="1" si="144"/>
        <v>-2.0515281860287957</v>
      </c>
    </row>
    <row r="281" spans="1:34" x14ac:dyDescent="0.3">
      <c r="A281" s="347">
        <f t="shared" ca="1" si="122"/>
        <v>0.1</v>
      </c>
      <c r="B281" s="304">
        <f t="shared" ca="1" si="123"/>
        <v>9.6999999999999833</v>
      </c>
      <c r="D281" s="306">
        <f t="shared" ca="1" si="124"/>
        <v>-0.75575309879013153</v>
      </c>
      <c r="E281" s="307">
        <f t="shared" ca="1" si="125"/>
        <v>-11.645804780282297</v>
      </c>
      <c r="F281" s="304">
        <f t="shared" ca="1" si="126"/>
        <v>11.670301269752075</v>
      </c>
      <c r="G281" s="306">
        <f t="shared" ca="1" si="127"/>
        <v>26.0514252813852</v>
      </c>
      <c r="H281" s="307">
        <f t="shared" ca="1" si="128"/>
        <v>62.300687023574937</v>
      </c>
      <c r="I281" s="304">
        <f t="shared" ca="1" si="129"/>
        <v>67.528159776503855</v>
      </c>
      <c r="J281" s="306">
        <f t="shared" ca="1" si="130"/>
        <v>288.34514602294695</v>
      </c>
      <c r="K281" s="307">
        <f t="shared" ca="1" si="131"/>
        <v>1155.4798238266876</v>
      </c>
      <c r="L281" s="304">
        <f t="shared" ca="1" si="116"/>
        <v>1190.9141642056104</v>
      </c>
      <c r="M281" s="306">
        <f t="shared" ca="1" si="132"/>
        <v>1.1747365983784721</v>
      </c>
      <c r="N281" s="304">
        <f t="shared" ca="1" si="133"/>
        <v>67.307449126641274</v>
      </c>
      <c r="P281" s="310">
        <f t="shared" ca="1" si="134"/>
        <v>23</v>
      </c>
      <c r="Q281" s="304">
        <f t="shared" ca="1" si="135"/>
        <v>0</v>
      </c>
      <c r="R281" s="306">
        <f t="shared" ca="1" si="136"/>
        <v>0</v>
      </c>
      <c r="S281" s="307">
        <f t="shared" ca="1" si="137"/>
        <v>8.0499999999999989</v>
      </c>
      <c r="T281" s="304">
        <f t="shared" ca="1" si="117"/>
        <v>78.970499999999987</v>
      </c>
      <c r="U281" s="311">
        <f t="shared" ca="1" si="118"/>
        <v>0</v>
      </c>
      <c r="V281" s="306">
        <f t="shared" ca="1" si="119"/>
        <v>1.0911847619647459</v>
      </c>
      <c r="W281" s="304">
        <f t="shared" ca="1" si="120"/>
        <v>15.461456711446543</v>
      </c>
      <c r="Y281" s="314" t="str">
        <f t="shared" ca="1" si="138"/>
        <v/>
      </c>
      <c r="Z281" s="315" t="str">
        <f t="shared" ca="1" si="139"/>
        <v/>
      </c>
      <c r="AA281" s="316" t="str">
        <f t="shared" ca="1" si="140"/>
        <v/>
      </c>
      <c r="AC281" s="310" t="e">
        <f t="shared" ca="1" si="141"/>
        <v>#N/A</v>
      </c>
      <c r="AD281" s="323" t="e">
        <f t="shared" ca="1" si="142"/>
        <v>#N/A</v>
      </c>
      <c r="AE281" s="324">
        <f t="shared" ca="1" si="121"/>
        <v>1155.4798238266876</v>
      </c>
      <c r="AG281" s="306">
        <f t="shared" ca="1" si="143"/>
        <v>-11.056663134176272</v>
      </c>
      <c r="AH281" s="304">
        <f t="shared" ca="1" si="144"/>
        <v>-1.9852813245578613</v>
      </c>
    </row>
    <row r="282" spans="1:34" x14ac:dyDescent="0.3">
      <c r="A282" s="347">
        <f t="shared" ca="1" si="122"/>
        <v>0.1</v>
      </c>
      <c r="B282" s="304">
        <f t="shared" ca="1" si="123"/>
        <v>9.7999999999999829</v>
      </c>
      <c r="D282" s="306">
        <f t="shared" ca="1" si="124"/>
        <v>-0.74097081463208159</v>
      </c>
      <c r="E282" s="307">
        <f t="shared" ca="1" si="125"/>
        <v>-11.581994826286223</v>
      </c>
      <c r="F282" s="304">
        <f t="shared" ca="1" si="126"/>
        <v>11.605672832897598</v>
      </c>
      <c r="G282" s="306">
        <f t="shared" ca="1" si="127"/>
        <v>25.977328199921992</v>
      </c>
      <c r="H282" s="307">
        <f t="shared" ca="1" si="128"/>
        <v>61.142487540946313</v>
      </c>
      <c r="I282" s="304">
        <f t="shared" ca="1" si="129"/>
        <v>66.432110933653448</v>
      </c>
      <c r="J282" s="306">
        <f t="shared" ca="1" si="130"/>
        <v>290.94658369701233</v>
      </c>
      <c r="K282" s="307">
        <f t="shared" ca="1" si="131"/>
        <v>1161.6519825549137</v>
      </c>
      <c r="L282" s="304">
        <f t="shared" ca="1" si="116"/>
        <v>1197.5329820671845</v>
      </c>
      <c r="M282" s="306">
        <f t="shared" ca="1" si="132"/>
        <v>1.1690396815684505</v>
      </c>
      <c r="N282" s="304">
        <f t="shared" ca="1" si="133"/>
        <v>66.981039837189911</v>
      </c>
      <c r="P282" s="310">
        <f t="shared" ca="1" si="134"/>
        <v>23</v>
      </c>
      <c r="Q282" s="304">
        <f t="shared" ca="1" si="135"/>
        <v>0</v>
      </c>
      <c r="R282" s="306">
        <f t="shared" ca="1" si="136"/>
        <v>0</v>
      </c>
      <c r="S282" s="307">
        <f t="shared" ca="1" si="137"/>
        <v>8.0499999999999989</v>
      </c>
      <c r="T282" s="304">
        <f t="shared" ca="1" si="117"/>
        <v>78.970499999999987</v>
      </c>
      <c r="U282" s="311">
        <f t="shared" ca="1" si="118"/>
        <v>0</v>
      </c>
      <c r="V282" s="306">
        <f t="shared" ca="1" si="119"/>
        <v>1.0905092069557829</v>
      </c>
      <c r="W282" s="304">
        <f t="shared" ca="1" si="120"/>
        <v>14.954356464363071</v>
      </c>
      <c r="Y282" s="314" t="str">
        <f t="shared" ca="1" si="138"/>
        <v/>
      </c>
      <c r="Z282" s="315" t="str">
        <f t="shared" ca="1" si="139"/>
        <v/>
      </c>
      <c r="AA282" s="316" t="str">
        <f t="shared" ca="1" si="140"/>
        <v/>
      </c>
      <c r="AC282" s="310" t="e">
        <f t="shared" ca="1" si="141"/>
        <v>#N/A</v>
      </c>
      <c r="AD282" s="323" t="e">
        <f t="shared" ca="1" si="142"/>
        <v>#N/A</v>
      </c>
      <c r="AE282" s="324">
        <f t="shared" ca="1" si="121"/>
        <v>1161.6519825549137</v>
      </c>
      <c r="AG282" s="306">
        <f t="shared" ca="1" si="143"/>
        <v>-10.971268624026376</v>
      </c>
      <c r="AH282" s="304">
        <f t="shared" ca="1" si="144"/>
        <v>-1.9206778523536081</v>
      </c>
    </row>
    <row r="283" spans="1:34" x14ac:dyDescent="0.3">
      <c r="A283" s="347">
        <f t="shared" ca="1" si="122"/>
        <v>0.1</v>
      </c>
      <c r="B283" s="304">
        <f t="shared" ca="1" si="123"/>
        <v>9.8999999999999826</v>
      </c>
      <c r="D283" s="306">
        <f t="shared" ca="1" si="124"/>
        <v>-0.72642080967498279</v>
      </c>
      <c r="E283" s="307">
        <f t="shared" ca="1" si="125"/>
        <v>-11.519766876840327</v>
      </c>
      <c r="F283" s="304">
        <f t="shared" ca="1" si="126"/>
        <v>11.542647707067751</v>
      </c>
      <c r="G283" s="306">
        <f t="shared" ca="1" si="127"/>
        <v>25.904686118954494</v>
      </c>
      <c r="H283" s="307">
        <f t="shared" ca="1" si="128"/>
        <v>59.990510853262279</v>
      </c>
      <c r="I283" s="304">
        <f t="shared" ca="1" si="129"/>
        <v>65.344580152885925</v>
      </c>
      <c r="J283" s="306">
        <f t="shared" ca="1" si="130"/>
        <v>293.54068441295613</v>
      </c>
      <c r="K283" s="307">
        <f t="shared" ca="1" si="131"/>
        <v>1167.7086324746242</v>
      </c>
      <c r="L283" s="304">
        <f t="shared" ca="1" si="116"/>
        <v>1204.0388630610657</v>
      </c>
      <c r="M283" s="306">
        <f t="shared" ca="1" si="132"/>
        <v>1.1631691374177775</v>
      </c>
      <c r="N283" s="304">
        <f t="shared" ca="1" si="133"/>
        <v>66.644682433911129</v>
      </c>
      <c r="P283" s="310">
        <f t="shared" ca="1" si="134"/>
        <v>23</v>
      </c>
      <c r="Q283" s="304">
        <f t="shared" ca="1" si="135"/>
        <v>0</v>
      </c>
      <c r="R283" s="306">
        <f t="shared" ca="1" si="136"/>
        <v>0</v>
      </c>
      <c r="S283" s="307">
        <f t="shared" ca="1" si="137"/>
        <v>8.0499999999999989</v>
      </c>
      <c r="T283" s="304">
        <f t="shared" ca="1" si="117"/>
        <v>78.970499999999987</v>
      </c>
      <c r="U283" s="311">
        <f t="shared" ca="1" si="118"/>
        <v>0</v>
      </c>
      <c r="V283" s="306">
        <f t="shared" ca="1" si="119"/>
        <v>1.0898466775863604</v>
      </c>
      <c r="W283" s="304">
        <f t="shared" ca="1" si="120"/>
        <v>14.459951457243342</v>
      </c>
      <c r="Y283" s="314" t="str">
        <f t="shared" ca="1" si="138"/>
        <v/>
      </c>
      <c r="Z283" s="315" t="str">
        <f t="shared" ca="1" si="139"/>
        <v/>
      </c>
      <c r="AA283" s="316" t="str">
        <f t="shared" ca="1" si="140"/>
        <v/>
      </c>
      <c r="AC283" s="310" t="e">
        <f t="shared" ca="1" si="141"/>
        <v>#N/A</v>
      </c>
      <c r="AD283" s="323" t="e">
        <f t="shared" ca="1" si="142"/>
        <v>#N/A</v>
      </c>
      <c r="AE283" s="324">
        <f t="shared" ca="1" si="121"/>
        <v>1167.7086324746242</v>
      </c>
      <c r="AG283" s="306">
        <f t="shared" ca="1" si="143"/>
        <v>-10.886567720966777</v>
      </c>
      <c r="AH283" s="304">
        <f t="shared" ca="1" si="144"/>
        <v>-1.8576840328401334</v>
      </c>
    </row>
    <row r="284" spans="1:34" x14ac:dyDescent="0.3">
      <c r="A284" s="347">
        <f t="shared" ca="1" si="122"/>
        <v>0.1</v>
      </c>
      <c r="B284" s="304">
        <f t="shared" ca="1" si="123"/>
        <v>9.9999999999999822</v>
      </c>
      <c r="D284" s="306">
        <f t="shared" ca="1" si="124"/>
        <v>-0.71209791987368154</v>
      </c>
      <c r="E284" s="307">
        <f t="shared" ca="1" si="125"/>
        <v>-11.459088423407298</v>
      </c>
      <c r="F284" s="304">
        <f t="shared" ca="1" si="126"/>
        <v>11.481192923340133</v>
      </c>
      <c r="G284" s="306">
        <f t="shared" ca="1" si="127"/>
        <v>25.833476326967126</v>
      </c>
      <c r="H284" s="307">
        <f t="shared" ca="1" si="128"/>
        <v>58.844602010921548</v>
      </c>
      <c r="I284" s="304">
        <f t="shared" ca="1" si="129"/>
        <v>64.265509295108856</v>
      </c>
      <c r="J284" s="306">
        <f t="shared" ca="1" si="130"/>
        <v>296.12759253525223</v>
      </c>
      <c r="K284" s="307">
        <f t="shared" ca="1" si="131"/>
        <v>1173.6503881178335</v>
      </c>
      <c r="L284" s="304">
        <f t="shared" ca="1" si="116"/>
        <v>1210.4324783274221</v>
      </c>
      <c r="M284" s="306">
        <f t="shared" ca="1" si="132"/>
        <v>1.1571176453695735</v>
      </c>
      <c r="N284" s="304">
        <f t="shared" ca="1" si="133"/>
        <v>66.297957479792061</v>
      </c>
      <c r="P284" s="310">
        <f t="shared" ca="1" si="134"/>
        <v>23</v>
      </c>
      <c r="Q284" s="304">
        <f t="shared" ca="1" si="135"/>
        <v>0</v>
      </c>
      <c r="R284" s="306">
        <f t="shared" ca="1" si="136"/>
        <v>0</v>
      </c>
      <c r="S284" s="307">
        <f t="shared" ca="1" si="137"/>
        <v>8.0499999999999989</v>
      </c>
      <c r="T284" s="304">
        <f t="shared" ca="1" si="117"/>
        <v>78.970499999999987</v>
      </c>
      <c r="U284" s="311">
        <f t="shared" ca="1" si="118"/>
        <v>0</v>
      </c>
      <c r="V284" s="306">
        <f t="shared" ca="1" si="119"/>
        <v>1.0891970846698065</v>
      </c>
      <c r="W284" s="304">
        <f t="shared" ca="1" si="120"/>
        <v>13.977988025077044</v>
      </c>
      <c r="Y284" s="314" t="str">
        <f t="shared" ca="1" si="138"/>
        <v/>
      </c>
      <c r="Z284" s="315" t="str">
        <f t="shared" ca="1" si="139"/>
        <v/>
      </c>
      <c r="AA284" s="316" t="str">
        <f t="shared" ca="1" si="140"/>
        <v/>
      </c>
      <c r="AC284" s="310">
        <f t="shared" ca="1" si="141"/>
        <v>9.9999999999999822</v>
      </c>
      <c r="AD284" s="323">
        <f t="shared" ca="1" si="142"/>
        <v>296.12759253525223</v>
      </c>
      <c r="AE284" s="324">
        <f t="shared" ca="1" si="121"/>
        <v>1173.6503881178335</v>
      </c>
      <c r="AG284" s="306">
        <f t="shared" ca="1" si="143"/>
        <v>-10.802475735273674</v>
      </c>
      <c r="AH284" s="304">
        <f t="shared" ca="1" si="144"/>
        <v>-1.7962672617693596</v>
      </c>
    </row>
    <row r="285" spans="1:34" x14ac:dyDescent="0.3">
      <c r="A285" s="347">
        <f t="shared" ca="1" si="122"/>
        <v>0.1</v>
      </c>
      <c r="B285" s="304">
        <f t="shared" ca="1" si="123"/>
        <v>10.099999999999982</v>
      </c>
      <c r="D285" s="306">
        <f t="shared" ca="1" si="124"/>
        <v>-0.69799720214705196</v>
      </c>
      <c r="E285" s="307">
        <f t="shared" ca="1" si="125"/>
        <v>-11.399928008341806</v>
      </c>
      <c r="F285" s="304">
        <f t="shared" ca="1" si="126"/>
        <v>11.421276578805939</v>
      </c>
      <c r="G285" s="306">
        <f t="shared" ca="1" si="127"/>
        <v>25.763676606752423</v>
      </c>
      <c r="H285" s="307">
        <f t="shared" ca="1" si="128"/>
        <v>57.704609210087369</v>
      </c>
      <c r="I285" s="304">
        <f t="shared" ca="1" si="129"/>
        <v>63.194849128597674</v>
      </c>
      <c r="J285" s="306">
        <f t="shared" ca="1" si="130"/>
        <v>298.70745018193821</v>
      </c>
      <c r="K285" s="307">
        <f t="shared" ca="1" si="131"/>
        <v>1179.4778486788839</v>
      </c>
      <c r="L285" s="304">
        <f t="shared" ca="1" si="116"/>
        <v>1216.7144843053211</v>
      </c>
      <c r="M285" s="306">
        <f t="shared" ca="1" si="132"/>
        <v>1.1508774951780554</v>
      </c>
      <c r="N285" s="304">
        <f t="shared" ca="1" si="133"/>
        <v>65.940423210290319</v>
      </c>
      <c r="P285" s="310">
        <f t="shared" ca="1" si="134"/>
        <v>23</v>
      </c>
      <c r="Q285" s="304">
        <f t="shared" ca="1" si="135"/>
        <v>0</v>
      </c>
      <c r="R285" s="306">
        <f t="shared" ca="1" si="136"/>
        <v>0</v>
      </c>
      <c r="S285" s="307">
        <f t="shared" ca="1" si="137"/>
        <v>8.0499999999999989</v>
      </c>
      <c r="T285" s="304">
        <f t="shared" ca="1" si="117"/>
        <v>78.970499999999987</v>
      </c>
      <c r="U285" s="311">
        <f t="shared" ca="1" si="118"/>
        <v>0</v>
      </c>
      <c r="V285" s="306">
        <f t="shared" ca="1" si="119"/>
        <v>1.0885603412931391</v>
      </c>
      <c r="W285" s="304">
        <f t="shared" ca="1" si="120"/>
        <v>13.508220999771092</v>
      </c>
      <c r="Y285" s="314" t="str">
        <f t="shared" ca="1" si="138"/>
        <v/>
      </c>
      <c r="Z285" s="315" t="str">
        <f t="shared" ca="1" si="139"/>
        <v/>
      </c>
      <c r="AA285" s="316" t="str">
        <f t="shared" ca="1" si="140"/>
        <v/>
      </c>
      <c r="AC285" s="310" t="e">
        <f t="shared" ca="1" si="141"/>
        <v>#N/A</v>
      </c>
      <c r="AD285" s="323" t="e">
        <f t="shared" ca="1" si="142"/>
        <v>#N/A</v>
      </c>
      <c r="AE285" s="324">
        <f t="shared" ca="1" si="121"/>
        <v>1179.4778486788839</v>
      </c>
      <c r="AG285" s="306">
        <f t="shared" ca="1" si="143"/>
        <v>-10.718905496239703</v>
      </c>
      <c r="AH285" s="304">
        <f t="shared" ca="1" si="144"/>
        <v>-1.7363960279598816</v>
      </c>
    </row>
    <row r="286" spans="1:34" x14ac:dyDescent="0.3">
      <c r="A286" s="347">
        <f t="shared" ca="1" si="122"/>
        <v>0.1</v>
      </c>
      <c r="B286" s="304">
        <f t="shared" ca="1" si="123"/>
        <v>10.199999999999982</v>
      </c>
      <c r="D286" s="306">
        <f t="shared" ca="1" si="124"/>
        <v>-0.68411393156473954</v>
      </c>
      <c r="E286" s="307">
        <f t="shared" ca="1" si="125"/>
        <v>-11.342255185417649</v>
      </c>
      <c r="F286" s="304">
        <f t="shared" ca="1" si="126"/>
        <v>11.362867796577346</v>
      </c>
      <c r="G286" s="306">
        <f t="shared" ca="1" si="127"/>
        <v>25.695265213595949</v>
      </c>
      <c r="H286" s="307">
        <f t="shared" ca="1" si="128"/>
        <v>56.570383691545601</v>
      </c>
      <c r="I286" s="304">
        <f t="shared" ca="1" si="129"/>
        <v>62.132559623805314</v>
      </c>
      <c r="J286" s="306">
        <f t="shared" ca="1" si="130"/>
        <v>301.28039727295561</v>
      </c>
      <c r="K286" s="307">
        <f t="shared" ca="1" si="131"/>
        <v>1185.1915983239655</v>
      </c>
      <c r="L286" s="304">
        <f t="shared" ca="1" si="116"/>
        <v>1222.8855230636536</v>
      </c>
      <c r="M286" s="306">
        <f t="shared" ca="1" si="132"/>
        <v>1.1444405632112824</v>
      </c>
      <c r="N286" s="304">
        <f t="shared" ca="1" si="133"/>
        <v>65.571614175581388</v>
      </c>
      <c r="P286" s="310">
        <f t="shared" ca="1" si="134"/>
        <v>23</v>
      </c>
      <c r="Q286" s="304">
        <f t="shared" ca="1" si="135"/>
        <v>0</v>
      </c>
      <c r="R286" s="306">
        <f t="shared" ca="1" si="136"/>
        <v>0</v>
      </c>
      <c r="S286" s="307">
        <f t="shared" ca="1" si="137"/>
        <v>8.0499999999999989</v>
      </c>
      <c r="T286" s="304">
        <f t="shared" ca="1" si="117"/>
        <v>78.970499999999987</v>
      </c>
      <c r="U286" s="311">
        <f t="shared" ca="1" si="118"/>
        <v>0</v>
      </c>
      <c r="V286" s="306">
        <f t="shared" ca="1" si="119"/>
        <v>1.0879363627693865</v>
      </c>
      <c r="W286" s="304">
        <f t="shared" ca="1" si="120"/>
        <v>13.050413420998147</v>
      </c>
      <c r="Y286" s="314" t="str">
        <f t="shared" ca="1" si="138"/>
        <v/>
      </c>
      <c r="Z286" s="315" t="str">
        <f t="shared" ca="1" si="139"/>
        <v/>
      </c>
      <c r="AA286" s="316" t="str">
        <f t="shared" ca="1" si="140"/>
        <v/>
      </c>
      <c r="AC286" s="310" t="e">
        <f t="shared" ca="1" si="141"/>
        <v>#N/A</v>
      </c>
      <c r="AD286" s="323" t="e">
        <f t="shared" ca="1" si="142"/>
        <v>#N/A</v>
      </c>
      <c r="AE286" s="324">
        <f t="shared" ca="1" si="121"/>
        <v>1185.1915983239655</v>
      </c>
      <c r="AG286" s="306">
        <f t="shared" ca="1" si="143"/>
        <v>-10.63576703479243</v>
      </c>
      <c r="AH286" s="304">
        <f t="shared" ca="1" si="144"/>
        <v>-1.678039875747962</v>
      </c>
    </row>
    <row r="287" spans="1:34" x14ac:dyDescent="0.3">
      <c r="A287" s="347">
        <f t="shared" ca="1" si="122"/>
        <v>0.1</v>
      </c>
      <c r="B287" s="304">
        <f t="shared" ca="1" si="123"/>
        <v>10.299999999999981</v>
      </c>
      <c r="D287" s="306">
        <f t="shared" ca="1" si="124"/>
        <v>-0.670443599082027</v>
      </c>
      <c r="E287" s="307">
        <f t="shared" ca="1" si="125"/>
        <v>-11.286040481712673</v>
      </c>
      <c r="F287" s="304">
        <f t="shared" ca="1" si="126"/>
        <v>11.305936687174897</v>
      </c>
      <c r="G287" s="306">
        <f t="shared" ca="1" si="127"/>
        <v>25.628220853687747</v>
      </c>
      <c r="H287" s="307">
        <f t="shared" ca="1" si="128"/>
        <v>55.441779643374332</v>
      </c>
      <c r="I287" s="304">
        <f t="shared" ca="1" si="129"/>
        <v>61.078610283387029</v>
      </c>
      <c r="J287" s="306">
        <f t="shared" ca="1" si="130"/>
        <v>303.84657157631977</v>
      </c>
      <c r="K287" s="307">
        <f t="shared" ca="1" si="131"/>
        <v>1190.7922064907116</v>
      </c>
      <c r="L287" s="304">
        <f t="shared" ca="1" si="116"/>
        <v>1228.9462226223332</v>
      </c>
      <c r="M287" s="306">
        <f t="shared" ca="1" si="132"/>
        <v>1.1377982872760799</v>
      </c>
      <c r="N287" s="304">
        <f t="shared" ca="1" si="133"/>
        <v>65.191039798132977</v>
      </c>
      <c r="P287" s="310">
        <f t="shared" ca="1" si="134"/>
        <v>23</v>
      </c>
      <c r="Q287" s="304">
        <f t="shared" ca="1" si="135"/>
        <v>0</v>
      </c>
      <c r="R287" s="306">
        <f t="shared" ca="1" si="136"/>
        <v>0</v>
      </c>
      <c r="S287" s="307">
        <f t="shared" ca="1" si="137"/>
        <v>8.0499999999999989</v>
      </c>
      <c r="T287" s="304">
        <f t="shared" ca="1" si="117"/>
        <v>78.970499999999987</v>
      </c>
      <c r="U287" s="311">
        <f t="shared" ca="1" si="118"/>
        <v>0</v>
      </c>
      <c r="V287" s="306">
        <f t="shared" ca="1" si="119"/>
        <v>1.0873250665914873</v>
      </c>
      <c r="W287" s="304">
        <f t="shared" ca="1" si="120"/>
        <v>12.604336259533772</v>
      </c>
      <c r="Y287" s="314" t="str">
        <f t="shared" ca="1" si="138"/>
        <v/>
      </c>
      <c r="Z287" s="315" t="str">
        <f t="shared" ca="1" si="139"/>
        <v/>
      </c>
      <c r="AA287" s="316" t="str">
        <f t="shared" ca="1" si="140"/>
        <v/>
      </c>
      <c r="AC287" s="310" t="e">
        <f t="shared" ca="1" si="141"/>
        <v>#N/A</v>
      </c>
      <c r="AD287" s="323" t="e">
        <f t="shared" ca="1" si="142"/>
        <v>#N/A</v>
      </c>
      <c r="AE287" s="324">
        <f t="shared" ca="1" si="121"/>
        <v>1190.7922064907116</v>
      </c>
      <c r="AG287" s="306">
        <f t="shared" ca="1" si="143"/>
        <v>-10.552967244033445</v>
      </c>
      <c r="AH287" s="304">
        <f t="shared" ca="1" si="144"/>
        <v>-1.6211693690680931</v>
      </c>
    </row>
    <row r="288" spans="1:34" x14ac:dyDescent="0.3">
      <c r="A288" s="347">
        <f t="shared" ca="1" si="122"/>
        <v>0.1</v>
      </c>
      <c r="B288" s="304">
        <f t="shared" ca="1" si="123"/>
        <v>10.399999999999981</v>
      </c>
      <c r="D288" s="306">
        <f t="shared" ca="1" si="124"/>
        <v>-0.65698190983377058</v>
      </c>
      <c r="E288" s="307">
        <f t="shared" ca="1" si="125"/>
        <v>-11.231255360746038</v>
      </c>
      <c r="F288" s="304">
        <f t="shared" ca="1" si="126"/>
        <v>11.250454311188303</v>
      </c>
      <c r="G288" s="306">
        <f t="shared" ca="1" si="127"/>
        <v>25.562522662704371</v>
      </c>
      <c r="H288" s="307">
        <f t="shared" ca="1" si="128"/>
        <v>54.318654107299729</v>
      </c>
      <c r="I288" s="304">
        <f t="shared" ca="1" si="129"/>
        <v>60.032980509964219</v>
      </c>
      <c r="J288" s="306">
        <f t="shared" ca="1" si="130"/>
        <v>306.4061087521394</v>
      </c>
      <c r="K288" s="307">
        <f t="shared" ca="1" si="131"/>
        <v>1196.2802281782454</v>
      </c>
      <c r="L288" s="304">
        <f t="shared" ca="1" si="116"/>
        <v>1234.8971972641377</v>
      </c>
      <c r="M288" s="306">
        <f t="shared" ca="1" si="132"/>
        <v>1.1309416398935486</v>
      </c>
      <c r="N288" s="304">
        <f t="shared" ca="1" si="133"/>
        <v>64.798182841504513</v>
      </c>
      <c r="P288" s="310">
        <f t="shared" ca="1" si="134"/>
        <v>23</v>
      </c>
      <c r="Q288" s="304">
        <f t="shared" ca="1" si="135"/>
        <v>0</v>
      </c>
      <c r="R288" s="306">
        <f t="shared" ca="1" si="136"/>
        <v>0</v>
      </c>
      <c r="S288" s="307">
        <f t="shared" ca="1" si="137"/>
        <v>8.0499999999999989</v>
      </c>
      <c r="T288" s="304">
        <f t="shared" ca="1" si="117"/>
        <v>78.970499999999987</v>
      </c>
      <c r="U288" s="311">
        <f t="shared" ca="1" si="118"/>
        <v>0</v>
      </c>
      <c r="V288" s="306">
        <f t="shared" ca="1" si="119"/>
        <v>1.0867263723877176</v>
      </c>
      <c r="W288" s="304">
        <f t="shared" ca="1" si="120"/>
        <v>12.169768152486032</v>
      </c>
      <c r="Y288" s="314" t="str">
        <f t="shared" ca="1" si="138"/>
        <v/>
      </c>
      <c r="Z288" s="315" t="str">
        <f t="shared" ca="1" si="139"/>
        <v/>
      </c>
      <c r="AA288" s="316" t="str">
        <f t="shared" ca="1" si="140"/>
        <v/>
      </c>
      <c r="AC288" s="310" t="e">
        <f t="shared" ca="1" si="141"/>
        <v>#N/A</v>
      </c>
      <c r="AD288" s="323" t="e">
        <f t="shared" ca="1" si="142"/>
        <v>#N/A</v>
      </c>
      <c r="AE288" s="324">
        <f t="shared" ca="1" si="121"/>
        <v>1196.2802281782454</v>
      </c>
      <c r="AG288" s="306">
        <f t="shared" ca="1" si="143"/>
        <v>-10.470409515604036</v>
      </c>
      <c r="AH288" s="304">
        <f t="shared" ca="1" si="144"/>
        <v>-1.5657560570849409</v>
      </c>
    </row>
    <row r="289" spans="1:34" x14ac:dyDescent="0.3">
      <c r="A289" s="347">
        <f t="shared" ca="1" si="122"/>
        <v>0.1</v>
      </c>
      <c r="B289" s="304">
        <f t="shared" ca="1" si="123"/>
        <v>10.49999999999998</v>
      </c>
      <c r="D289" s="306">
        <f t="shared" ca="1" si="124"/>
        <v>-0.64372478200104932</v>
      </c>
      <c r="E289" s="307">
        <f t="shared" ca="1" si="125"/>
        <v>-11.17787218676299</v>
      </c>
      <c r="F289" s="304">
        <f t="shared" ca="1" si="126"/>
        <v>11.196392643104828</v>
      </c>
      <c r="G289" s="306">
        <f t="shared" ca="1" si="127"/>
        <v>25.498150184504265</v>
      </c>
      <c r="H289" s="307">
        <f t="shared" ca="1" si="128"/>
        <v>53.20086688862343</v>
      </c>
      <c r="I289" s="304">
        <f t="shared" ca="1" si="129"/>
        <v>58.995660014382111</v>
      </c>
      <c r="J289" s="306">
        <f t="shared" ca="1" si="130"/>
        <v>308.95914239449985</v>
      </c>
      <c r="K289" s="307">
        <f t="shared" ca="1" si="131"/>
        <v>1201.6562042280416</v>
      </c>
      <c r="L289" s="304">
        <f t="shared" ca="1" si="116"/>
        <v>1240.7390478375739</v>
      </c>
      <c r="M289" s="306">
        <f t="shared" ca="1" si="132"/>
        <v>1.1238610999562875</v>
      </c>
      <c r="N289" s="304">
        <f t="shared" ca="1" si="133"/>
        <v>64.392497786425622</v>
      </c>
      <c r="P289" s="310">
        <f t="shared" ca="1" si="134"/>
        <v>23</v>
      </c>
      <c r="Q289" s="304">
        <f t="shared" ca="1" si="135"/>
        <v>0</v>
      </c>
      <c r="R289" s="306">
        <f t="shared" ca="1" si="136"/>
        <v>0</v>
      </c>
      <c r="S289" s="307">
        <f t="shared" ca="1" si="137"/>
        <v>8.0499999999999989</v>
      </c>
      <c r="T289" s="304">
        <f t="shared" ca="1" si="117"/>
        <v>78.970499999999987</v>
      </c>
      <c r="U289" s="311">
        <f t="shared" ca="1" si="118"/>
        <v>0</v>
      </c>
      <c r="V289" s="306">
        <f t="shared" ca="1" si="119"/>
        <v>1.0861402018785873</v>
      </c>
      <c r="W289" s="304">
        <f t="shared" ca="1" si="120"/>
        <v>11.74649514985277</v>
      </c>
      <c r="Y289" s="314" t="str">
        <f t="shared" ca="1" si="138"/>
        <v/>
      </c>
      <c r="Z289" s="315" t="str">
        <f t="shared" ca="1" si="139"/>
        <v/>
      </c>
      <c r="AA289" s="316" t="str">
        <f t="shared" ca="1" si="140"/>
        <v/>
      </c>
      <c r="AC289" s="310" t="e">
        <f t="shared" ca="1" si="141"/>
        <v>#N/A</v>
      </c>
      <c r="AD289" s="323" t="e">
        <f t="shared" ca="1" si="142"/>
        <v>#N/A</v>
      </c>
      <c r="AE289" s="324">
        <f t="shared" ca="1" si="121"/>
        <v>1201.6562042280416</v>
      </c>
      <c r="AG289" s="306">
        <f t="shared" ca="1" si="143"/>
        <v>-10.387993349644248</v>
      </c>
      <c r="AH289" s="304">
        <f t="shared" ca="1" si="144"/>
        <v>-1.5117724413026128</v>
      </c>
    </row>
    <row r="290" spans="1:34" x14ac:dyDescent="0.3">
      <c r="A290" s="347">
        <f t="shared" ca="1" si="122"/>
        <v>0.1</v>
      </c>
      <c r="B290" s="304">
        <f t="shared" ca="1" si="123"/>
        <v>10.59999999999998</v>
      </c>
      <c r="D290" s="306">
        <f t="shared" ca="1" si="124"/>
        <v>-0.63066834626696311</v>
      </c>
      <c r="E290" s="307">
        <f t="shared" ca="1" si="125"/>
        <v>-11.125864190062199</v>
      </c>
      <c r="F290" s="304">
        <f t="shared" ca="1" si="126"/>
        <v>11.143724536199354</v>
      </c>
      <c r="G290" s="306">
        <f t="shared" ca="1" si="127"/>
        <v>25.435083349877569</v>
      </c>
      <c r="H290" s="307">
        <f t="shared" ca="1" si="128"/>
        <v>52.08828046961721</v>
      </c>
      <c r="I290" s="304">
        <f t="shared" ca="1" si="129"/>
        <v>57.966649267460035</v>
      </c>
      <c r="J290" s="306">
        <f t="shared" ca="1" si="130"/>
        <v>311.50580407121896</v>
      </c>
      <c r="K290" s="307">
        <f t="shared" ca="1" si="131"/>
        <v>1206.9206615959536</v>
      </c>
      <c r="L290" s="304">
        <f t="shared" ca="1" si="116"/>
        <v>1246.472362051109</v>
      </c>
      <c r="M290" s="306">
        <f t="shared" ca="1" si="132"/>
        <v>1.1165466227031131</v>
      </c>
      <c r="N290" s="304">
        <f t="shared" ca="1" si="133"/>
        <v>63.973409110474286</v>
      </c>
      <c r="P290" s="310">
        <f t="shared" ca="1" si="134"/>
        <v>23</v>
      </c>
      <c r="Q290" s="304">
        <f t="shared" ca="1" si="135"/>
        <v>0</v>
      </c>
      <c r="R290" s="306">
        <f t="shared" ca="1" si="136"/>
        <v>0</v>
      </c>
      <c r="S290" s="307">
        <f t="shared" ca="1" si="137"/>
        <v>8.0499999999999989</v>
      </c>
      <c r="T290" s="304">
        <f t="shared" ca="1" si="117"/>
        <v>78.970499999999987</v>
      </c>
      <c r="U290" s="311">
        <f t="shared" ca="1" si="118"/>
        <v>0</v>
      </c>
      <c r="V290" s="306">
        <f t="shared" ca="1" si="119"/>
        <v>1.0855664788351431</v>
      </c>
      <c r="W290" s="304">
        <f t="shared" ca="1" si="120"/>
        <v>11.334310471870712</v>
      </c>
      <c r="Y290" s="314" t="str">
        <f t="shared" ca="1" si="138"/>
        <v/>
      </c>
      <c r="Z290" s="315" t="str">
        <f t="shared" ca="1" si="139"/>
        <v/>
      </c>
      <c r="AA290" s="316" t="str">
        <f t="shared" ca="1" si="140"/>
        <v/>
      </c>
      <c r="AC290" s="310" t="e">
        <f t="shared" ca="1" si="141"/>
        <v>#N/A</v>
      </c>
      <c r="AD290" s="323" t="e">
        <f t="shared" ca="1" si="142"/>
        <v>#N/A</v>
      </c>
      <c r="AE290" s="324">
        <f t="shared" ca="1" si="121"/>
        <v>1206.9206615959536</v>
      </c>
      <c r="AG290" s="306">
        <f t="shared" ca="1" si="143"/>
        <v>-10.305613935972792</v>
      </c>
      <c r="AH290" s="304">
        <f t="shared" ca="1" si="144"/>
        <v>-1.4591919440810897</v>
      </c>
    </row>
    <row r="291" spans="1:34" x14ac:dyDescent="0.3">
      <c r="A291" s="347">
        <f t="shared" ca="1" si="122"/>
        <v>0.1</v>
      </c>
      <c r="B291" s="304">
        <f t="shared" ca="1" si="123"/>
        <v>10.69999999999998</v>
      </c>
      <c r="D291" s="306">
        <f t="shared" ca="1" si="124"/>
        <v>-0.61780894588088775</v>
      </c>
      <c r="E291" s="307">
        <f t="shared" ca="1" si="125"/>
        <v>-11.07520543325985</v>
      </c>
      <c r="F291" s="304">
        <f t="shared" ca="1" si="126"/>
        <v>11.092423688379332</v>
      </c>
      <c r="G291" s="306">
        <f t="shared" ca="1" si="127"/>
        <v>25.37330245528948</v>
      </c>
      <c r="H291" s="307">
        <f t="shared" ca="1" si="128"/>
        <v>50.980759926291228</v>
      </c>
      <c r="I291" s="304">
        <f t="shared" ca="1" si="129"/>
        <v>56.945959998491034</v>
      </c>
      <c r="J291" s="306">
        <f t="shared" ca="1" si="130"/>
        <v>314.0462233614773</v>
      </c>
      <c r="K291" s="307">
        <f t="shared" ca="1" si="131"/>
        <v>1212.074113615749</v>
      </c>
      <c r="L291" s="304">
        <f t="shared" ca="1" si="116"/>
        <v>1252.09771475912</v>
      </c>
      <c r="M291" s="306">
        <f t="shared" ca="1" si="132"/>
        <v>1.1089876079541836</v>
      </c>
      <c r="N291" s="304">
        <f t="shared" ca="1" si="133"/>
        <v>63.540309468083485</v>
      </c>
      <c r="P291" s="310">
        <f t="shared" ca="1" si="134"/>
        <v>23</v>
      </c>
      <c r="Q291" s="304">
        <f t="shared" ca="1" si="135"/>
        <v>0</v>
      </c>
      <c r="R291" s="306">
        <f t="shared" ca="1" si="136"/>
        <v>0</v>
      </c>
      <c r="S291" s="307">
        <f t="shared" ca="1" si="137"/>
        <v>8.0499999999999989</v>
      </c>
      <c r="T291" s="304">
        <f t="shared" ca="1" si="117"/>
        <v>78.970499999999987</v>
      </c>
      <c r="U291" s="311">
        <f t="shared" ca="1" si="118"/>
        <v>0</v>
      </c>
      <c r="V291" s="306">
        <f t="shared" ca="1" si="119"/>
        <v>1.0850051290386333</v>
      </c>
      <c r="W291" s="304">
        <f t="shared" ca="1" si="120"/>
        <v>10.933014276648192</v>
      </c>
      <c r="Y291" s="314" t="str">
        <f t="shared" ca="1" si="138"/>
        <v/>
      </c>
      <c r="Z291" s="315" t="str">
        <f t="shared" ca="1" si="139"/>
        <v/>
      </c>
      <c r="AA291" s="316" t="str">
        <f t="shared" ca="1" si="140"/>
        <v/>
      </c>
      <c r="AC291" s="310" t="e">
        <f t="shared" ca="1" si="141"/>
        <v>#N/A</v>
      </c>
      <c r="AD291" s="323" t="e">
        <f t="shared" ca="1" si="142"/>
        <v>#N/A</v>
      </c>
      <c r="AE291" s="324">
        <f t="shared" ca="1" si="121"/>
        <v>1212.074113615749</v>
      </c>
      <c r="AG291" s="306">
        <f t="shared" ca="1" si="143"/>
        <v>-10.22316170397845</v>
      </c>
      <c r="AH291" s="304">
        <f t="shared" ca="1" si="144"/>
        <v>-1.4079888784932564</v>
      </c>
    </row>
    <row r="292" spans="1:34" x14ac:dyDescent="0.3">
      <c r="A292" s="347">
        <f t="shared" ca="1" si="122"/>
        <v>0.1</v>
      </c>
      <c r="B292" s="304">
        <f t="shared" ca="1" si="123"/>
        <v>10.799999999999979</v>
      </c>
      <c r="D292" s="306">
        <f t="shared" ca="1" si="124"/>
        <v>-0.60514313735347314</v>
      </c>
      <c r="E292" s="307">
        <f t="shared" ca="1" si="125"/>
        <v>-11.025870778383</v>
      </c>
      <c r="F292" s="304">
        <f t="shared" ca="1" si="126"/>
        <v>11.042464608876324</v>
      </c>
      <c r="G292" s="306">
        <f t="shared" ca="1" si="127"/>
        <v>25.312788141554133</v>
      </c>
      <c r="H292" s="307">
        <f t="shared" ca="1" si="128"/>
        <v>49.878172848452927</v>
      </c>
      <c r="I292" s="304">
        <f t="shared" ca="1" si="129"/>
        <v>55.933615744017033</v>
      </c>
      <c r="J292" s="306">
        <f t="shared" ca="1" si="130"/>
        <v>316.58052789131949</v>
      </c>
      <c r="K292" s="307">
        <f t="shared" ca="1" si="131"/>
        <v>1217.1170602544862</v>
      </c>
      <c r="L292" s="304">
        <f t="shared" ca="1" si="116"/>
        <v>1257.6156682398916</v>
      </c>
      <c r="M292" s="306">
        <f t="shared" ca="1" si="132"/>
        <v>1.1011728665596165</v>
      </c>
      <c r="N292" s="304">
        <f t="shared" ca="1" si="133"/>
        <v>63.092557768188612</v>
      </c>
      <c r="P292" s="310">
        <f t="shared" ca="1" si="134"/>
        <v>23</v>
      </c>
      <c r="Q292" s="304">
        <f t="shared" ca="1" si="135"/>
        <v>0</v>
      </c>
      <c r="R292" s="306">
        <f t="shared" ca="1" si="136"/>
        <v>0</v>
      </c>
      <c r="S292" s="307">
        <f t="shared" ca="1" si="137"/>
        <v>8.0499999999999989</v>
      </c>
      <c r="T292" s="304">
        <f t="shared" ca="1" si="117"/>
        <v>78.970499999999987</v>
      </c>
      <c r="U292" s="311">
        <f t="shared" ca="1" si="118"/>
        <v>0</v>
      </c>
      <c r="V292" s="306">
        <f t="shared" ca="1" si="119"/>
        <v>1.0844560802414818</v>
      </c>
      <c r="W292" s="304">
        <f t="shared" ca="1" si="120"/>
        <v>10.542413437598663</v>
      </c>
      <c r="Y292" s="314" t="str">
        <f t="shared" ca="1" si="138"/>
        <v/>
      </c>
      <c r="Z292" s="315" t="str">
        <f t="shared" ca="1" si="139"/>
        <v/>
      </c>
      <c r="AA292" s="316" t="str">
        <f t="shared" ca="1" si="140"/>
        <v/>
      </c>
      <c r="AC292" s="310" t="e">
        <f t="shared" ca="1" si="141"/>
        <v>#N/A</v>
      </c>
      <c r="AD292" s="323" t="e">
        <f t="shared" ca="1" si="142"/>
        <v>#N/A</v>
      </c>
      <c r="AE292" s="324">
        <f t="shared" ca="1" si="121"/>
        <v>1217.1170602544862</v>
      </c>
      <c r="AG292" s="306">
        <f t="shared" ca="1" si="143"/>
        <v>-10.140521838584645</v>
      </c>
      <c r="AH292" s="304">
        <f t="shared" ca="1" si="144"/>
        <v>-1.3581384194594031</v>
      </c>
    </row>
    <row r="293" spans="1:34" x14ac:dyDescent="0.3">
      <c r="A293" s="347">
        <f t="shared" ca="1" si="122"/>
        <v>0.1</v>
      </c>
      <c r="B293" s="304">
        <f t="shared" ca="1" si="123"/>
        <v>10.899999999999979</v>
      </c>
      <c r="D293" s="306">
        <f t="shared" ca="1" si="124"/>
        <v>-0.59266769180772649</v>
      </c>
      <c r="E293" s="307">
        <f t="shared" ca="1" si="125"/>
        <v>-10.977835854682125</v>
      </c>
      <c r="F293" s="304">
        <f t="shared" ca="1" si="126"/>
        <v>10.993822585673152</v>
      </c>
      <c r="G293" s="306">
        <f t="shared" ca="1" si="127"/>
        <v>25.25352137237336</v>
      </c>
      <c r="H293" s="307">
        <f t="shared" ca="1" si="128"/>
        <v>48.780389262984713</v>
      </c>
      <c r="I293" s="304">
        <f t="shared" ca="1" si="129"/>
        <v>54.92965245068671</v>
      </c>
      <c r="J293" s="306">
        <f t="shared" ca="1" si="130"/>
        <v>319.10884336701588</v>
      </c>
      <c r="K293" s="307">
        <f t="shared" ca="1" si="131"/>
        <v>1222.049988360058</v>
      </c>
      <c r="L293" s="304">
        <f t="shared" ca="1" si="116"/>
        <v>1263.0267724659889</v>
      </c>
      <c r="M293" s="306">
        <f t="shared" ca="1" si="132"/>
        <v>1.0930905850287262</v>
      </c>
      <c r="N293" s="304">
        <f t="shared" ca="1" si="133"/>
        <v>62.629477147632066</v>
      </c>
      <c r="P293" s="310">
        <f t="shared" ca="1" si="134"/>
        <v>23</v>
      </c>
      <c r="Q293" s="304">
        <f t="shared" ca="1" si="135"/>
        <v>0</v>
      </c>
      <c r="R293" s="306">
        <f t="shared" ca="1" si="136"/>
        <v>0</v>
      </c>
      <c r="S293" s="307">
        <f t="shared" ca="1" si="137"/>
        <v>8.0499999999999989</v>
      </c>
      <c r="T293" s="304">
        <f t="shared" ca="1" si="117"/>
        <v>78.970499999999987</v>
      </c>
      <c r="U293" s="311">
        <f t="shared" ca="1" si="118"/>
        <v>0</v>
      </c>
      <c r="V293" s="306">
        <f t="shared" ca="1" si="119"/>
        <v>1.0839192621295157</v>
      </c>
      <c r="W293" s="304">
        <f t="shared" ca="1" si="120"/>
        <v>10.16232133021621</v>
      </c>
      <c r="Y293" s="314" t="str">
        <f t="shared" ca="1" si="138"/>
        <v/>
      </c>
      <c r="Z293" s="315" t="str">
        <f t="shared" ca="1" si="139"/>
        <v/>
      </c>
      <c r="AA293" s="316" t="str">
        <f t="shared" ca="1" si="140"/>
        <v/>
      </c>
      <c r="AC293" s="310" t="e">
        <f t="shared" ca="1" si="141"/>
        <v>#N/A</v>
      </c>
      <c r="AD293" s="323" t="e">
        <f t="shared" ca="1" si="142"/>
        <v>#N/A</v>
      </c>
      <c r="AE293" s="324">
        <f t="shared" ca="1" si="121"/>
        <v>1222.049988360058</v>
      </c>
      <c r="AG293" s="306">
        <f t="shared" ca="1" si="143"/>
        <v>-10.057573759533433</v>
      </c>
      <c r="AH293" s="304">
        <f t="shared" ca="1" si="144"/>
        <v>-1.3096165760992129</v>
      </c>
    </row>
    <row r="294" spans="1:34" x14ac:dyDescent="0.3">
      <c r="A294" s="347">
        <f t="shared" ca="1" si="122"/>
        <v>0.1</v>
      </c>
      <c r="B294" s="304">
        <f t="shared" ca="1" si="123"/>
        <v>10.999999999999979</v>
      </c>
      <c r="D294" s="306">
        <f t="shared" ca="1" si="124"/>
        <v>-0.58037959701463171</v>
      </c>
      <c r="E294" s="307">
        <f t="shared" ca="1" si="125"/>
        <v>-10.931077027049366</v>
      </c>
      <c r="F294" s="304">
        <f t="shared" ca="1" si="126"/>
        <v>10.94647365355242</v>
      </c>
      <c r="G294" s="306">
        <f t="shared" ca="1" si="127"/>
        <v>25.195483412671898</v>
      </c>
      <c r="H294" s="307">
        <f t="shared" ca="1" si="128"/>
        <v>47.687281560279779</v>
      </c>
      <c r="I294" s="304">
        <f t="shared" ca="1" si="129"/>
        <v>53.934119136290938</v>
      </c>
      <c r="J294" s="306">
        <f t="shared" ca="1" si="130"/>
        <v>321.63129360626812</v>
      </c>
      <c r="K294" s="307">
        <f t="shared" ca="1" si="131"/>
        <v>1226.8733719012212</v>
      </c>
      <c r="L294" s="304">
        <f t="shared" ca="1" si="116"/>
        <v>1268.3315653673189</v>
      </c>
      <c r="M294" s="306">
        <f t="shared" ca="1" si="132"/>
        <v>1.0847282883257556</v>
      </c>
      <c r="N294" s="304">
        <f t="shared" ca="1" si="133"/>
        <v>62.150352839515683</v>
      </c>
      <c r="P294" s="310">
        <f t="shared" ca="1" si="134"/>
        <v>23</v>
      </c>
      <c r="Q294" s="304">
        <f t="shared" ca="1" si="135"/>
        <v>0</v>
      </c>
      <c r="R294" s="306">
        <f t="shared" ca="1" si="136"/>
        <v>0</v>
      </c>
      <c r="S294" s="307">
        <f t="shared" ca="1" si="137"/>
        <v>8.0499999999999989</v>
      </c>
      <c r="T294" s="304">
        <f t="shared" ca="1" si="117"/>
        <v>78.970499999999987</v>
      </c>
      <c r="U294" s="311">
        <f t="shared" ca="1" si="118"/>
        <v>0</v>
      </c>
      <c r="V294" s="306">
        <f t="shared" ca="1" si="119"/>
        <v>1.0833946062854021</v>
      </c>
      <c r="W294" s="304">
        <f t="shared" ca="1" si="120"/>
        <v>9.7925576277564481</v>
      </c>
      <c r="Y294" s="314" t="str">
        <f t="shared" ca="1" si="138"/>
        <v/>
      </c>
      <c r="Z294" s="315" t="str">
        <f t="shared" ca="1" si="139"/>
        <v/>
      </c>
      <c r="AA294" s="316" t="str">
        <f t="shared" ca="1" si="140"/>
        <v/>
      </c>
      <c r="AC294" s="310">
        <f t="shared" ca="1" si="141"/>
        <v>10.999999999999979</v>
      </c>
      <c r="AD294" s="323">
        <f t="shared" ca="1" si="142"/>
        <v>321.63129360626812</v>
      </c>
      <c r="AE294" s="324">
        <f t="shared" ca="1" si="121"/>
        <v>1226.8733719012212</v>
      </c>
      <c r="AG294" s="306">
        <f t="shared" ca="1" si="143"/>
        <v>-9.9741905611417501</v>
      </c>
      <c r="AH294" s="304">
        <f t="shared" ca="1" si="144"/>
        <v>-1.2624001652442498</v>
      </c>
    </row>
    <row r="295" spans="1:34" x14ac:dyDescent="0.3">
      <c r="A295" s="347">
        <f t="shared" ca="1" si="122"/>
        <v>0.1</v>
      </c>
      <c r="B295" s="304">
        <f t="shared" ca="1" si="123"/>
        <v>11.099999999999978</v>
      </c>
      <c r="D295" s="306">
        <f t="shared" ca="1" si="124"/>
        <v>-0.56827606014491583</v>
      </c>
      <c r="E295" s="307">
        <f t="shared" ca="1" si="125"/>
        <v>-10.885571364924381</v>
      </c>
      <c r="F295" s="304">
        <f t="shared" ca="1" si="126"/>
        <v>10.900394562647513</v>
      </c>
      <c r="G295" s="306">
        <f t="shared" ca="1" si="127"/>
        <v>25.138655806657408</v>
      </c>
      <c r="H295" s="307">
        <f t="shared" ca="1" si="128"/>
        <v>46.598724423787338</v>
      </c>
      <c r="I295" s="304">
        <f t="shared" ca="1" si="129"/>
        <v>52.947078613363217</v>
      </c>
      <c r="J295" s="306">
        <f t="shared" ca="1" si="130"/>
        <v>324.14800056723459</v>
      </c>
      <c r="K295" s="307">
        <f t="shared" ca="1" si="131"/>
        <v>1231.5876722004245</v>
      </c>
      <c r="L295" s="304">
        <f t="shared" ca="1" si="116"/>
        <v>1273.5305730871937</v>
      </c>
      <c r="M295" s="306">
        <f t="shared" ca="1" si="132"/>
        <v>1.0760728008425839</v>
      </c>
      <c r="N295" s="304">
        <f t="shared" ca="1" si="133"/>
        <v>61.654429937101632</v>
      </c>
      <c r="P295" s="310">
        <f t="shared" ca="1" si="134"/>
        <v>23</v>
      </c>
      <c r="Q295" s="304">
        <f t="shared" ca="1" si="135"/>
        <v>0</v>
      </c>
      <c r="R295" s="306">
        <f t="shared" ca="1" si="136"/>
        <v>0</v>
      </c>
      <c r="S295" s="307">
        <f t="shared" ca="1" si="137"/>
        <v>8.0499999999999989</v>
      </c>
      <c r="T295" s="304">
        <f t="shared" ca="1" si="117"/>
        <v>78.970499999999987</v>
      </c>
      <c r="U295" s="311">
        <f t="shared" ca="1" si="118"/>
        <v>0</v>
      </c>
      <c r="V295" s="306">
        <f t="shared" ca="1" si="119"/>
        <v>1.0828820461532485</v>
      </c>
      <c r="W295" s="304">
        <f t="shared" ca="1" si="120"/>
        <v>9.4329481054072684</v>
      </c>
      <c r="Y295" s="314" t="str">
        <f t="shared" ca="1" si="138"/>
        <v/>
      </c>
      <c r="Z295" s="315" t="str">
        <f t="shared" ca="1" si="139"/>
        <v/>
      </c>
      <c r="AA295" s="316" t="str">
        <f t="shared" ca="1" si="140"/>
        <v/>
      </c>
      <c r="AC295" s="310" t="e">
        <f t="shared" ca="1" si="141"/>
        <v>#N/A</v>
      </c>
      <c r="AD295" s="323" t="e">
        <f t="shared" ca="1" si="142"/>
        <v>#N/A</v>
      </c>
      <c r="AE295" s="324">
        <f t="shared" ca="1" si="121"/>
        <v>1231.5876722004245</v>
      </c>
      <c r="AG295" s="306">
        <f t="shared" ca="1" si="143"/>
        <v>-9.8902384096218903</v>
      </c>
      <c r="AH295" s="304">
        <f t="shared" ca="1" si="144"/>
        <v>-1.2164667860567018</v>
      </c>
    </row>
    <row r="296" spans="1:34" x14ac:dyDescent="0.3">
      <c r="A296" s="347">
        <f t="shared" ca="1" si="122"/>
        <v>0.1</v>
      </c>
      <c r="B296" s="304">
        <f t="shared" ca="1" si="123"/>
        <v>11.199999999999978</v>
      </c>
      <c r="D296" s="306">
        <f t="shared" ca="1" si="124"/>
        <v>-0.5563545112717434</v>
      </c>
      <c r="E296" s="307">
        <f t="shared" ca="1" si="125"/>
        <v>-10.841296611564136</v>
      </c>
      <c r="F296" s="304">
        <f t="shared" ca="1" si="126"/>
        <v>10.85556274737171</v>
      </c>
      <c r="G296" s="306">
        <f t="shared" ca="1" si="127"/>
        <v>25.083020355530234</v>
      </c>
      <c r="H296" s="307">
        <f t="shared" ca="1" si="128"/>
        <v>45.514594762630928</v>
      </c>
      <c r="I296" s="304">
        <f t="shared" ca="1" si="129"/>
        <v>51.968608280022806</v>
      </c>
      <c r="J296" s="306">
        <f t="shared" ca="1" si="130"/>
        <v>326.65908437534398</v>
      </c>
      <c r="K296" s="307">
        <f t="shared" ca="1" si="131"/>
        <v>1236.1933381597455</v>
      </c>
      <c r="L296" s="304">
        <f t="shared" ca="1" si="116"/>
        <v>1278.624310231693</v>
      </c>
      <c r="M296" s="306">
        <f t="shared" ca="1" si="132"/>
        <v>1.0671102055906334</v>
      </c>
      <c r="N296" s="304">
        <f t="shared" ca="1" si="133"/>
        <v>61.140911055680881</v>
      </c>
      <c r="P296" s="310">
        <f t="shared" ca="1" si="134"/>
        <v>23</v>
      </c>
      <c r="Q296" s="304">
        <f t="shared" ca="1" si="135"/>
        <v>0</v>
      </c>
      <c r="R296" s="306">
        <f t="shared" ca="1" si="136"/>
        <v>0</v>
      </c>
      <c r="S296" s="307">
        <f t="shared" ca="1" si="137"/>
        <v>8.0499999999999989</v>
      </c>
      <c r="T296" s="304">
        <f t="shared" ca="1" si="117"/>
        <v>78.970499999999987</v>
      </c>
      <c r="U296" s="311">
        <f t="shared" ca="1" si="118"/>
        <v>0</v>
      </c>
      <c r="V296" s="306">
        <f t="shared" ca="1" si="119"/>
        <v>1.082381517004317</v>
      </c>
      <c r="W296" s="304">
        <f t="shared" ca="1" si="120"/>
        <v>9.0833244525529224</v>
      </c>
      <c r="Y296" s="314" t="str">
        <f t="shared" ca="1" si="138"/>
        <v/>
      </c>
      <c r="Z296" s="315" t="str">
        <f t="shared" ca="1" si="139"/>
        <v/>
      </c>
      <c r="AA296" s="316" t="str">
        <f t="shared" ca="1" si="140"/>
        <v/>
      </c>
      <c r="AC296" s="310" t="e">
        <f t="shared" ca="1" si="141"/>
        <v>#N/A</v>
      </c>
      <c r="AD296" s="323" t="e">
        <f t="shared" ca="1" si="142"/>
        <v>#N/A</v>
      </c>
      <c r="AE296" s="324">
        <f t="shared" ca="1" si="121"/>
        <v>1236.1933381597455</v>
      </c>
      <c r="AG296" s="306">
        <f t="shared" ca="1" si="143"/>
        <v>-9.8055758950433187</v>
      </c>
      <c r="AH296" s="304">
        <f t="shared" ca="1" si="144"/>
        <v>-1.1717947957027663</v>
      </c>
    </row>
    <row r="297" spans="1:34" x14ac:dyDescent="0.3">
      <c r="A297" s="347">
        <f t="shared" ca="1" si="122"/>
        <v>0.1</v>
      </c>
      <c r="B297" s="304">
        <f t="shared" ca="1" si="123"/>
        <v>11.299999999999978</v>
      </c>
      <c r="D297" s="306">
        <f t="shared" ca="1" si="124"/>
        <v>-0.54461260766220865</v>
      </c>
      <c r="E297" s="307">
        <f t="shared" ca="1" si="125"/>
        <v>-10.798231153546068</v>
      </c>
      <c r="F297" s="304">
        <f t="shared" ca="1" si="126"/>
        <v>10.811956295594127</v>
      </c>
      <c r="G297" s="306">
        <f t="shared" ca="1" si="127"/>
        <v>25.028559094764013</v>
      </c>
      <c r="H297" s="307">
        <f t="shared" ca="1" si="128"/>
        <v>44.434771647276321</v>
      </c>
      <c r="I297" s="304">
        <f t="shared" ca="1" si="129"/>
        <v>50.99880098302004</v>
      </c>
      <c r="J297" s="306">
        <f t="shared" ca="1" si="130"/>
        <v>329.16466334785866</v>
      </c>
      <c r="K297" s="307">
        <f t="shared" ca="1" si="131"/>
        <v>1240.6908064802408</v>
      </c>
      <c r="L297" s="304">
        <f t="shared" ca="1" si="116"/>
        <v>1283.6132801126278</v>
      </c>
      <c r="M297" s="306">
        <f t="shared" ca="1" si="132"/>
        <v>1.0578258016946842</v>
      </c>
      <c r="N297" s="304">
        <f t="shared" ca="1" si="133"/>
        <v>60.608953897148169</v>
      </c>
      <c r="P297" s="310">
        <f t="shared" ca="1" si="134"/>
        <v>23</v>
      </c>
      <c r="Q297" s="304">
        <f t="shared" ca="1" si="135"/>
        <v>0</v>
      </c>
      <c r="R297" s="306">
        <f t="shared" ca="1" si="136"/>
        <v>0</v>
      </c>
      <c r="S297" s="307">
        <f t="shared" ca="1" si="137"/>
        <v>8.0499999999999989</v>
      </c>
      <c r="T297" s="304">
        <f t="shared" ca="1" si="117"/>
        <v>78.970499999999987</v>
      </c>
      <c r="U297" s="311">
        <f t="shared" ca="1" si="118"/>
        <v>0</v>
      </c>
      <c r="V297" s="306">
        <f t="shared" ca="1" si="119"/>
        <v>1.081892955903806</v>
      </c>
      <c r="W297" s="304">
        <f t="shared" ca="1" si="120"/>
        <v>8.7435240927531357</v>
      </c>
      <c r="Y297" s="314" t="str">
        <f t="shared" ca="1" si="138"/>
        <v/>
      </c>
      <c r="Z297" s="315" t="str">
        <f t="shared" ca="1" si="139"/>
        <v/>
      </c>
      <c r="AA297" s="316" t="str">
        <f t="shared" ca="1" si="140"/>
        <v/>
      </c>
      <c r="AC297" s="310" t="e">
        <f t="shared" ca="1" si="141"/>
        <v>#N/A</v>
      </c>
      <c r="AD297" s="323" t="e">
        <f t="shared" ca="1" si="142"/>
        <v>#N/A</v>
      </c>
      <c r="AE297" s="324">
        <f t="shared" ca="1" si="121"/>
        <v>1240.6908064802408</v>
      </c>
      <c r="AG297" s="306">
        <f t="shared" ca="1" si="143"/>
        <v>-9.720053335061408</v>
      </c>
      <c r="AH297" s="304">
        <f t="shared" ca="1" si="144"/>
        <v>-1.128363286031419</v>
      </c>
    </row>
    <row r="298" spans="1:34" x14ac:dyDescent="0.3">
      <c r="A298" s="347">
        <f t="shared" ca="1" si="122"/>
        <v>0.1</v>
      </c>
      <c r="B298" s="304">
        <f t="shared" ca="1" si="123"/>
        <v>11.399999999999977</v>
      </c>
      <c r="D298" s="306">
        <f t="shared" ca="1" si="124"/>
        <v>-0.53304823889849207</v>
      </c>
      <c r="E298" s="307">
        <f t="shared" ca="1" si="125"/>
        <v>-10.756353990365845</v>
      </c>
      <c r="F298" s="304">
        <f t="shared" ca="1" si="126"/>
        <v>10.769553917923064</v>
      </c>
      <c r="G298" s="306">
        <f t="shared" ca="1" si="127"/>
        <v>24.975254270874164</v>
      </c>
      <c r="H298" s="307">
        <f t="shared" ca="1" si="128"/>
        <v>43.359136248239736</v>
      </c>
      <c r="I298" s="304">
        <f t="shared" ca="1" si="129"/>
        <v>50.037765958206357</v>
      </c>
      <c r="J298" s="306">
        <f t="shared" ca="1" si="130"/>
        <v>331.66485401614057</v>
      </c>
      <c r="K298" s="307">
        <f t="shared" ca="1" si="131"/>
        <v>1245.0805018750166</v>
      </c>
      <c r="L298" s="304">
        <f t="shared" ca="1" si="116"/>
        <v>1288.4979749843967</v>
      </c>
      <c r="M298" s="306">
        <f t="shared" ca="1" si="132"/>
        <v>1.0482040603223779</v>
      </c>
      <c r="N298" s="304">
        <f t="shared" ca="1" si="133"/>
        <v>60.057668724948606</v>
      </c>
      <c r="P298" s="310">
        <f t="shared" ca="1" si="134"/>
        <v>23</v>
      </c>
      <c r="Q298" s="304">
        <f t="shared" ca="1" si="135"/>
        <v>0</v>
      </c>
      <c r="R298" s="306">
        <f t="shared" ca="1" si="136"/>
        <v>0</v>
      </c>
      <c r="S298" s="307">
        <f t="shared" ca="1" si="137"/>
        <v>8.0499999999999989</v>
      </c>
      <c r="T298" s="304">
        <f t="shared" ca="1" si="117"/>
        <v>78.970499999999987</v>
      </c>
      <c r="U298" s="311">
        <f t="shared" ca="1" si="118"/>
        <v>0</v>
      </c>
      <c r="V298" s="306">
        <f t="shared" ca="1" si="119"/>
        <v>1.0814163016786607</v>
      </c>
      <c r="W298" s="304">
        <f t="shared" ca="1" si="120"/>
        <v>8.4133900110755242</v>
      </c>
      <c r="Y298" s="314" t="str">
        <f t="shared" ca="1" si="138"/>
        <v/>
      </c>
      <c r="Z298" s="315" t="str">
        <f t="shared" ca="1" si="139"/>
        <v/>
      </c>
      <c r="AA298" s="316" t="str">
        <f t="shared" ca="1" si="140"/>
        <v/>
      </c>
      <c r="AC298" s="310" t="e">
        <f t="shared" ca="1" si="141"/>
        <v>#N/A</v>
      </c>
      <c r="AD298" s="323" t="e">
        <f t="shared" ca="1" si="142"/>
        <v>#N/A</v>
      </c>
      <c r="AE298" s="324">
        <f t="shared" ca="1" si="121"/>
        <v>1245.0805018750166</v>
      </c>
      <c r="AG298" s="306">
        <f t="shared" ca="1" si="143"/>
        <v>-9.6335120276726336</v>
      </c>
      <c r="AH298" s="304">
        <f t="shared" ca="1" si="144"/>
        <v>-1.0861520612115698</v>
      </c>
    </row>
    <row r="299" spans="1:34" x14ac:dyDescent="0.3">
      <c r="A299" s="347">
        <f t="shared" ca="1" si="122"/>
        <v>0.1</v>
      </c>
      <c r="B299" s="304">
        <f t="shared" ca="1" si="123"/>
        <v>11.499999999999977</v>
      </c>
      <c r="D299" s="306">
        <f t="shared" ca="1" si="124"/>
        <v>-0.52165953287231537</v>
      </c>
      <c r="E299" s="307">
        <f t="shared" ca="1" si="125"/>
        <v>-10.715644703981312</v>
      </c>
      <c r="F299" s="304">
        <f t="shared" ca="1" si="126"/>
        <v>10.728334916947704</v>
      </c>
      <c r="G299" s="306">
        <f t="shared" ca="1" si="127"/>
        <v>24.923088317586931</v>
      </c>
      <c r="H299" s="307">
        <f t="shared" ca="1" si="128"/>
        <v>42.287571777841606</v>
      </c>
      <c r="I299" s="304">
        <f t="shared" ca="1" si="129"/>
        <v>49.085629853882324</v>
      </c>
      <c r="J299" s="306">
        <f t="shared" ca="1" si="130"/>
        <v>334.15977114556364</v>
      </c>
      <c r="K299" s="307">
        <f t="shared" ca="1" si="131"/>
        <v>1249.3628372763205</v>
      </c>
      <c r="L299" s="304">
        <f t="shared" ca="1" si="116"/>
        <v>1293.2788762750258</v>
      </c>
      <c r="M299" s="306">
        <f t="shared" ca="1" si="132"/>
        <v>1.0382285792471067</v>
      </c>
      <c r="N299" s="304">
        <f t="shared" ca="1" si="133"/>
        <v>59.486115760722939</v>
      </c>
      <c r="P299" s="310">
        <f t="shared" ca="1" si="134"/>
        <v>23</v>
      </c>
      <c r="Q299" s="304">
        <f t="shared" ca="1" si="135"/>
        <v>0</v>
      </c>
      <c r="R299" s="306">
        <f t="shared" ca="1" si="136"/>
        <v>0</v>
      </c>
      <c r="S299" s="307">
        <f t="shared" ca="1" si="137"/>
        <v>8.0499999999999989</v>
      </c>
      <c r="T299" s="304">
        <f t="shared" ca="1" si="117"/>
        <v>78.970499999999987</v>
      </c>
      <c r="U299" s="311">
        <f t="shared" ca="1" si="118"/>
        <v>0</v>
      </c>
      <c r="V299" s="306">
        <f t="shared" ca="1" si="119"/>
        <v>1.0809514948863603</v>
      </c>
      <c r="W299" s="304">
        <f t="shared" ca="1" si="120"/>
        <v>8.0927705884347567</v>
      </c>
      <c r="Y299" s="314" t="str">
        <f t="shared" ca="1" si="138"/>
        <v/>
      </c>
      <c r="Z299" s="315" t="str">
        <f t="shared" ca="1" si="139"/>
        <v/>
      </c>
      <c r="AA299" s="316" t="str">
        <f t="shared" ca="1" si="140"/>
        <v/>
      </c>
      <c r="AC299" s="310" t="e">
        <f t="shared" ca="1" si="141"/>
        <v>#N/A</v>
      </c>
      <c r="AD299" s="323" t="e">
        <f t="shared" ca="1" si="142"/>
        <v>#N/A</v>
      </c>
      <c r="AE299" s="324">
        <f t="shared" ca="1" si="121"/>
        <v>1249.3628372763205</v>
      </c>
      <c r="AG299" s="306">
        <f t="shared" ca="1" si="143"/>
        <v>-9.5457834505025421</v>
      </c>
      <c r="AH299" s="304">
        <f t="shared" ca="1" si="144"/>
        <v>-1.0451416162826739</v>
      </c>
    </row>
    <row r="300" spans="1:34" x14ac:dyDescent="0.3">
      <c r="A300" s="347">
        <f t="shared" ca="1" si="122"/>
        <v>0.1</v>
      </c>
      <c r="B300" s="304">
        <f t="shared" ca="1" si="123"/>
        <v>11.599999999999977</v>
      </c>
      <c r="D300" s="306">
        <f t="shared" ca="1" si="124"/>
        <v>-0.51044486269873501</v>
      </c>
      <c r="E300" s="307">
        <f t="shared" ca="1" si="125"/>
        <v>-10.676083428142872</v>
      </c>
      <c r="F300" s="304">
        <f t="shared" ca="1" si="126"/>
        <v>10.688279156277796</v>
      </c>
      <c r="G300" s="306">
        <f t="shared" ca="1" si="127"/>
        <v>24.872043831317058</v>
      </c>
      <c r="H300" s="307">
        <f t="shared" ca="1" si="128"/>
        <v>41.219963435027317</v>
      </c>
      <c r="I300" s="304">
        <f t="shared" ca="1" si="129"/>
        <v>48.142537842659962</v>
      </c>
      <c r="J300" s="306">
        <f t="shared" ca="1" si="130"/>
        <v>336.64952775300884</v>
      </c>
      <c r="K300" s="307">
        <f t="shared" ca="1" si="131"/>
        <v>1253.5382140369641</v>
      </c>
      <c r="L300" s="304">
        <f t="shared" ca="1" si="116"/>
        <v>1297.9564548116803</v>
      </c>
      <c r="M300" s="306">
        <f t="shared" ca="1" si="132"/>
        <v>1.0278820363213359</v>
      </c>
      <c r="N300" s="304">
        <f t="shared" ca="1" si="133"/>
        <v>58.893302518525338</v>
      </c>
      <c r="P300" s="310">
        <f t="shared" ca="1" si="134"/>
        <v>23</v>
      </c>
      <c r="Q300" s="304">
        <f t="shared" ca="1" si="135"/>
        <v>0</v>
      </c>
      <c r="R300" s="306">
        <f t="shared" ca="1" si="136"/>
        <v>0</v>
      </c>
      <c r="S300" s="307">
        <f t="shared" ca="1" si="137"/>
        <v>8.0499999999999989</v>
      </c>
      <c r="T300" s="304">
        <f t="shared" ca="1" si="117"/>
        <v>78.970499999999987</v>
      </c>
      <c r="U300" s="311">
        <f t="shared" ca="1" si="118"/>
        <v>0</v>
      </c>
      <c r="V300" s="306">
        <f t="shared" ca="1" si="119"/>
        <v>1.0804984777846447</v>
      </c>
      <c r="W300" s="304">
        <f t="shared" ca="1" si="120"/>
        <v>7.7815194426061431</v>
      </c>
      <c r="Y300" s="314" t="str">
        <f t="shared" ca="1" si="138"/>
        <v/>
      </c>
      <c r="Z300" s="315" t="str">
        <f t="shared" ca="1" si="139"/>
        <v/>
      </c>
      <c r="AA300" s="316" t="str">
        <f t="shared" ca="1" si="140"/>
        <v/>
      </c>
      <c r="AC300" s="310" t="e">
        <f t="shared" ca="1" si="141"/>
        <v>#N/A</v>
      </c>
      <c r="AD300" s="323" t="e">
        <f t="shared" ca="1" si="142"/>
        <v>#N/A</v>
      </c>
      <c r="AE300" s="324">
        <f t="shared" ca="1" si="121"/>
        <v>1253.5382140369641</v>
      </c>
      <c r="AG300" s="306">
        <f t="shared" ca="1" si="143"/>
        <v>-9.4566884045270552</v>
      </c>
      <c r="AH300" s="304">
        <f t="shared" ca="1" si="144"/>
        <v>-1.0053131165757463</v>
      </c>
    </row>
    <row r="301" spans="1:34" x14ac:dyDescent="0.3">
      <c r="A301" s="347">
        <f t="shared" ca="1" si="122"/>
        <v>0.1</v>
      </c>
      <c r="B301" s="304">
        <f t="shared" ca="1" si="123"/>
        <v>11.699999999999976</v>
      </c>
      <c r="D301" s="306">
        <f t="shared" ca="1" si="124"/>
        <v>-0.49940285459723127</v>
      </c>
      <c r="E301" s="307">
        <f t="shared" ca="1" si="125"/>
        <v>-10.637650817337599</v>
      </c>
      <c r="F301" s="304">
        <f t="shared" ca="1" si="126"/>
        <v>10.649367029208035</v>
      </c>
      <c r="G301" s="306">
        <f t="shared" ca="1" si="127"/>
        <v>24.822103545857335</v>
      </c>
      <c r="H301" s="307">
        <f t="shared" ca="1" si="128"/>
        <v>40.156198353293554</v>
      </c>
      <c r="I301" s="304">
        <f t="shared" ca="1" si="129"/>
        <v>47.208654827587694</v>
      </c>
      <c r="J301" s="306">
        <f t="shared" ca="1" si="130"/>
        <v>339.13423512186756</v>
      </c>
      <c r="K301" s="307">
        <f t="shared" ca="1" si="131"/>
        <v>1257.6070221263801</v>
      </c>
      <c r="L301" s="304">
        <f t="shared" ca="1" si="116"/>
        <v>1302.5311710409374</v>
      </c>
      <c r="M301" s="306">
        <f t="shared" ca="1" si="132"/>
        <v>1.0171461422352785</v>
      </c>
      <c r="N301" s="304">
        <f t="shared" ca="1" si="133"/>
        <v>58.278181098094791</v>
      </c>
      <c r="P301" s="310">
        <f t="shared" ca="1" si="134"/>
        <v>23</v>
      </c>
      <c r="Q301" s="304">
        <f t="shared" ca="1" si="135"/>
        <v>0</v>
      </c>
      <c r="R301" s="306">
        <f t="shared" ca="1" si="136"/>
        <v>0</v>
      </c>
      <c r="S301" s="307">
        <f t="shared" ca="1" si="137"/>
        <v>8.0499999999999989</v>
      </c>
      <c r="T301" s="304">
        <f t="shared" ca="1" si="117"/>
        <v>78.970499999999987</v>
      </c>
      <c r="U301" s="311">
        <f t="shared" ca="1" si="118"/>
        <v>0</v>
      </c>
      <c r="V301" s="306">
        <f t="shared" ca="1" si="119"/>
        <v>1.0800571943021353</v>
      </c>
      <c r="W301" s="304">
        <f t="shared" ca="1" si="120"/>
        <v>7.4794952755939219</v>
      </c>
      <c r="Y301" s="314" t="str">
        <f t="shared" ca="1" si="138"/>
        <v/>
      </c>
      <c r="Z301" s="315" t="str">
        <f t="shared" ca="1" si="139"/>
        <v/>
      </c>
      <c r="AA301" s="316" t="str">
        <f t="shared" ca="1" si="140"/>
        <v/>
      </c>
      <c r="AC301" s="310" t="e">
        <f t="shared" ca="1" si="141"/>
        <v>#N/A</v>
      </c>
      <c r="AD301" s="323" t="e">
        <f t="shared" ca="1" si="142"/>
        <v>#N/A</v>
      </c>
      <c r="AE301" s="324">
        <f t="shared" ca="1" si="121"/>
        <v>1257.6070221263801</v>
      </c>
      <c r="AG301" s="306">
        <f t="shared" ca="1" si="143"/>
        <v>-9.3660361007125132</v>
      </c>
      <c r="AH301" s="304">
        <f t="shared" ca="1" si="144"/>
        <v>-0.96664837796349612</v>
      </c>
    </row>
    <row r="302" spans="1:34" x14ac:dyDescent="0.3">
      <c r="A302" s="347">
        <f t="shared" ca="1" si="122"/>
        <v>0.1</v>
      </c>
      <c r="B302" s="304">
        <f t="shared" ca="1" si="123"/>
        <v>11.799999999999976</v>
      </c>
      <c r="D302" s="306">
        <f t="shared" ca="1" si="124"/>
        <v>-0.48853239678923605</v>
      </c>
      <c r="E302" s="307">
        <f t="shared" ca="1" si="125"/>
        <v>-10.600328015159398</v>
      </c>
      <c r="F302" s="304">
        <f t="shared" ca="1" si="126"/>
        <v>10.611579426818885</v>
      </c>
      <c r="G302" s="306">
        <f t="shared" ca="1" si="127"/>
        <v>24.773250306178412</v>
      </c>
      <c r="H302" s="307">
        <f t="shared" ca="1" si="128"/>
        <v>39.096165551777617</v>
      </c>
      <c r="I302" s="304">
        <f t="shared" ca="1" si="129"/>
        <v>46.284166748301423</v>
      </c>
      <c r="J302" s="306">
        <f t="shared" ca="1" si="130"/>
        <v>341.61400281446936</v>
      </c>
      <c r="K302" s="307">
        <f t="shared" ca="1" si="131"/>
        <v>1261.5696403216336</v>
      </c>
      <c r="L302" s="304">
        <f t="shared" ca="1" si="116"/>
        <v>1307.0034752441097</v>
      </c>
      <c r="M302" s="306">
        <f t="shared" ca="1" si="132"/>
        <v>1.0060015930557991</v>
      </c>
      <c r="N302" s="304">
        <f t="shared" ca="1" si="133"/>
        <v>57.639645465534635</v>
      </c>
      <c r="P302" s="310">
        <f t="shared" ca="1" si="134"/>
        <v>23</v>
      </c>
      <c r="Q302" s="304">
        <f t="shared" ca="1" si="135"/>
        <v>0</v>
      </c>
      <c r="R302" s="306">
        <f t="shared" ca="1" si="136"/>
        <v>0</v>
      </c>
      <c r="S302" s="307">
        <f t="shared" ca="1" si="137"/>
        <v>8.0499999999999989</v>
      </c>
      <c r="T302" s="304">
        <f t="shared" ca="1" si="117"/>
        <v>78.970499999999987</v>
      </c>
      <c r="U302" s="311">
        <f t="shared" ca="1" si="118"/>
        <v>0</v>
      </c>
      <c r="V302" s="306">
        <f t="shared" ca="1" si="119"/>
        <v>1.0796275900098011</v>
      </c>
      <c r="W302" s="304">
        <f t="shared" ca="1" si="120"/>
        <v>7.1865617270462341</v>
      </c>
      <c r="Y302" s="314" t="str">
        <f t="shared" ca="1" si="138"/>
        <v/>
      </c>
      <c r="Z302" s="315" t="str">
        <f t="shared" ca="1" si="139"/>
        <v/>
      </c>
      <c r="AA302" s="316" t="str">
        <f t="shared" ca="1" si="140"/>
        <v/>
      </c>
      <c r="AC302" s="310" t="e">
        <f t="shared" ca="1" si="141"/>
        <v>#N/A</v>
      </c>
      <c r="AD302" s="323" t="e">
        <f t="shared" ca="1" si="142"/>
        <v>#N/A</v>
      </c>
      <c r="AE302" s="324">
        <f t="shared" ca="1" si="121"/>
        <v>1261.5696403216336</v>
      </c>
      <c r="AG302" s="306">
        <f t="shared" ca="1" si="143"/>
        <v>-9.2736231888879335</v>
      </c>
      <c r="AH302" s="304">
        <f t="shared" ca="1" si="144"/>
        <v>-0.92912984789986619</v>
      </c>
    </row>
    <row r="303" spans="1:34" x14ac:dyDescent="0.3">
      <c r="A303" s="347">
        <f t="shared" ca="1" si="122"/>
        <v>0.1</v>
      </c>
      <c r="B303" s="304">
        <f t="shared" ca="1" si="123"/>
        <v>11.899999999999975</v>
      </c>
      <c r="D303" s="306">
        <f t="shared" ca="1" si="124"/>
        <v>-0.47783264946143411</v>
      </c>
      <c r="E303" s="307">
        <f t="shared" ca="1" si="125"/>
        <v>-10.564096621900665</v>
      </c>
      <c r="F303" s="304">
        <f t="shared" ca="1" si="126"/>
        <v>10.574897705308755</v>
      </c>
      <c r="G303" s="306">
        <f t="shared" ca="1" si="127"/>
        <v>24.725467041232267</v>
      </c>
      <c r="H303" s="307">
        <f t="shared" ca="1" si="128"/>
        <v>38.039755889587553</v>
      </c>
      <c r="I303" s="304">
        <f t="shared" ca="1" si="129"/>
        <v>45.369281992847036</v>
      </c>
      <c r="J303" s="306">
        <f t="shared" ca="1" si="130"/>
        <v>344.08893868183992</v>
      </c>
      <c r="K303" s="307">
        <f t="shared" ca="1" si="131"/>
        <v>1265.4264363937018</v>
      </c>
      <c r="L303" s="304">
        <f t="shared" ca="1" si="116"/>
        <v>1311.3738077479122</v>
      </c>
      <c r="M303" s="306">
        <f t="shared" ca="1" si="132"/>
        <v>0.9944280231865642</v>
      </c>
      <c r="N303" s="304">
        <f t="shared" ca="1" si="133"/>
        <v>56.976528758127699</v>
      </c>
      <c r="P303" s="310">
        <f t="shared" ca="1" si="134"/>
        <v>23</v>
      </c>
      <c r="Q303" s="304">
        <f t="shared" ca="1" si="135"/>
        <v>0</v>
      </c>
      <c r="R303" s="306">
        <f t="shared" ca="1" si="136"/>
        <v>0</v>
      </c>
      <c r="S303" s="307">
        <f t="shared" ca="1" si="137"/>
        <v>8.0499999999999989</v>
      </c>
      <c r="T303" s="304">
        <f t="shared" ca="1" si="117"/>
        <v>78.970499999999987</v>
      </c>
      <c r="U303" s="311">
        <f t="shared" ca="1" si="118"/>
        <v>0</v>
      </c>
      <c r="V303" s="306">
        <f t="shared" ca="1" si="119"/>
        <v>1.0792096120932371</v>
      </c>
      <c r="W303" s="304">
        <f t="shared" ca="1" si="120"/>
        <v>6.9025872334188652</v>
      </c>
      <c r="Y303" s="314" t="str">
        <f t="shared" ca="1" si="138"/>
        <v/>
      </c>
      <c r="Z303" s="315" t="str">
        <f t="shared" ca="1" si="139"/>
        <v/>
      </c>
      <c r="AA303" s="316" t="str">
        <f t="shared" ca="1" si="140"/>
        <v/>
      </c>
      <c r="AC303" s="310" t="e">
        <f t="shared" ca="1" si="141"/>
        <v>#N/A</v>
      </c>
      <c r="AD303" s="323" t="e">
        <f t="shared" ca="1" si="142"/>
        <v>#N/A</v>
      </c>
      <c r="AE303" s="324">
        <f t="shared" ca="1" si="121"/>
        <v>1265.4264363937018</v>
      </c>
      <c r="AG303" s="306">
        <f t="shared" ca="1" si="143"/>
        <v>-9.1792327292997467</v>
      </c>
      <c r="AH303" s="304">
        <f t="shared" ca="1" si="144"/>
        <v>-0.89274058721071248</v>
      </c>
    </row>
    <row r="304" spans="1:34" x14ac:dyDescent="0.3">
      <c r="A304" s="347">
        <f t="shared" ca="1" si="122"/>
        <v>0.1</v>
      </c>
      <c r="B304" s="304">
        <f t="shared" ca="1" si="123"/>
        <v>11.999999999999975</v>
      </c>
      <c r="D304" s="306">
        <f t="shared" ca="1" si="124"/>
        <v>-0.46730305584303861</v>
      </c>
      <c r="E304" s="307">
        <f t="shared" ca="1" si="125"/>
        <v>-10.52893866114173</v>
      </c>
      <c r="F304" s="304">
        <f t="shared" ca="1" si="126"/>
        <v>10.539303652333263</v>
      </c>
      <c r="G304" s="306">
        <f t="shared" ca="1" si="127"/>
        <v>24.678736735647963</v>
      </c>
      <c r="H304" s="307">
        <f t="shared" ca="1" si="128"/>
        <v>36.986862023473378</v>
      </c>
      <c r="I304" s="304">
        <f t="shared" ca="1" si="129"/>
        <v>44.464232920527003</v>
      </c>
      <c r="J304" s="306">
        <f t="shared" ca="1" si="130"/>
        <v>346.55914887068394</v>
      </c>
      <c r="K304" s="307">
        <f t="shared" ca="1" si="131"/>
        <v>1269.177767289355</v>
      </c>
      <c r="L304" s="304">
        <f t="shared" ca="1" si="116"/>
        <v>1315.6425991307688</v>
      </c>
      <c r="M304" s="306">
        <f t="shared" ca="1" si="132"/>
        <v>0.98240395956748194</v>
      </c>
      <c r="N304" s="304">
        <f t="shared" ca="1" si="133"/>
        <v>56.287600660157487</v>
      </c>
      <c r="P304" s="310">
        <f t="shared" ca="1" si="134"/>
        <v>23</v>
      </c>
      <c r="Q304" s="304">
        <f t="shared" ca="1" si="135"/>
        <v>0</v>
      </c>
      <c r="R304" s="306">
        <f t="shared" ca="1" si="136"/>
        <v>0</v>
      </c>
      <c r="S304" s="307">
        <f t="shared" ca="1" si="137"/>
        <v>8.0499999999999989</v>
      </c>
      <c r="T304" s="304">
        <f t="shared" ca="1" si="117"/>
        <v>78.970499999999987</v>
      </c>
      <c r="U304" s="311">
        <f t="shared" ca="1" si="118"/>
        <v>0</v>
      </c>
      <c r="V304" s="306">
        <f t="shared" ca="1" si="119"/>
        <v>1.0788032093256981</v>
      </c>
      <c r="W304" s="304">
        <f t="shared" ca="1" si="120"/>
        <v>6.627444892599109</v>
      </c>
      <c r="Y304" s="314" t="str">
        <f t="shared" ca="1" si="138"/>
        <v/>
      </c>
      <c r="Z304" s="315" t="str">
        <f t="shared" ca="1" si="139"/>
        <v/>
      </c>
      <c r="AA304" s="316" t="str">
        <f t="shared" ca="1" si="140"/>
        <v/>
      </c>
      <c r="AC304" s="310">
        <f t="shared" ca="1" si="141"/>
        <v>11.999999999999975</v>
      </c>
      <c r="AD304" s="323">
        <f t="shared" ca="1" si="142"/>
        <v>346.55914887068394</v>
      </c>
      <c r="AE304" s="324">
        <f t="shared" ca="1" si="121"/>
        <v>1269.177767289355</v>
      </c>
      <c r="AG304" s="306">
        <f t="shared" ca="1" si="143"/>
        <v>-9.0826331088235897</v>
      </c>
      <c r="AH304" s="304">
        <f t="shared" ca="1" si="144"/>
        <v>-0.85746425259861692</v>
      </c>
    </row>
    <row r="305" spans="1:34" x14ac:dyDescent="0.3">
      <c r="A305" s="347">
        <f t="shared" ca="1" si="122"/>
        <v>0.1</v>
      </c>
      <c r="B305" s="304">
        <f t="shared" ca="1" si="123"/>
        <v>12.099999999999975</v>
      </c>
      <c r="D305" s="306">
        <f t="shared" ca="1" si="124"/>
        <v>-0.45694335444236378</v>
      </c>
      <c r="E305" s="307">
        <f t="shared" ca="1" si="125"/>
        <v>-10.494836545093079</v>
      </c>
      <c r="F305" s="304">
        <f t="shared" ca="1" si="126"/>
        <v>10.504779452106089</v>
      </c>
      <c r="G305" s="306">
        <f t="shared" ca="1" si="127"/>
        <v>24.633042400203728</v>
      </c>
      <c r="H305" s="307">
        <f t="shared" ca="1" si="128"/>
        <v>35.937378368964069</v>
      </c>
      <c r="I305" s="304">
        <f t="shared" ca="1" si="129"/>
        <v>43.569277500600364</v>
      </c>
      <c r="J305" s="306">
        <f t="shared" ca="1" si="130"/>
        <v>349.02473782747654</v>
      </c>
      <c r="K305" s="307">
        <f t="shared" ca="1" si="131"/>
        <v>1272.8239793089767</v>
      </c>
      <c r="L305" s="304">
        <f t="shared" ca="1" si="116"/>
        <v>1319.8102704250628</v>
      </c>
      <c r="M305" s="306">
        <f t="shared" ca="1" si="132"/>
        <v>0.96990677814461079</v>
      </c>
      <c r="N305" s="304">
        <f t="shared" ca="1" si="133"/>
        <v>55.57156490881767</v>
      </c>
      <c r="P305" s="310">
        <f t="shared" ca="1" si="134"/>
        <v>23</v>
      </c>
      <c r="Q305" s="304">
        <f t="shared" ca="1" si="135"/>
        <v>0</v>
      </c>
      <c r="R305" s="306">
        <f t="shared" ca="1" si="136"/>
        <v>0</v>
      </c>
      <c r="S305" s="307">
        <f t="shared" ca="1" si="137"/>
        <v>8.0499999999999989</v>
      </c>
      <c r="T305" s="304">
        <f t="shared" ca="1" si="117"/>
        <v>78.970499999999987</v>
      </c>
      <c r="U305" s="311">
        <f t="shared" ca="1" si="118"/>
        <v>0</v>
      </c>
      <c r="V305" s="306">
        <f t="shared" ca="1" si="119"/>
        <v>1.0784083320418518</v>
      </c>
      <c r="W305" s="304">
        <f t="shared" ca="1" si="120"/>
        <v>6.3610123337088291</v>
      </c>
      <c r="Y305" s="314" t="str">
        <f t="shared" ca="1" si="138"/>
        <v/>
      </c>
      <c r="Z305" s="315" t="str">
        <f t="shared" ca="1" si="139"/>
        <v/>
      </c>
      <c r="AA305" s="316" t="str">
        <f t="shared" ca="1" si="140"/>
        <v/>
      </c>
      <c r="AC305" s="310" t="e">
        <f t="shared" ca="1" si="141"/>
        <v>#N/A</v>
      </c>
      <c r="AD305" s="323" t="e">
        <f t="shared" ca="1" si="142"/>
        <v>#N/A</v>
      </c>
      <c r="AE305" s="324">
        <f t="shared" ca="1" si="121"/>
        <v>1272.8239793089767</v>
      </c>
      <c r="AG305" s="306">
        <f t="shared" ca="1" si="143"/>
        <v>-8.9835769058155677</v>
      </c>
      <c r="AH305" s="304">
        <f t="shared" ca="1" si="144"/>
        <v>-0.82328507982597643</v>
      </c>
    </row>
    <row r="306" spans="1:34" x14ac:dyDescent="0.3">
      <c r="A306" s="347">
        <f t="shared" ca="1" si="122"/>
        <v>0.1</v>
      </c>
      <c r="B306" s="304">
        <f t="shared" ca="1" si="123"/>
        <v>12.199999999999974</v>
      </c>
      <c r="D306" s="306">
        <f t="shared" ca="1" si="124"/>
        <v>-0.44675359248285379</v>
      </c>
      <c r="E306" s="307">
        <f t="shared" ca="1" si="125"/>
        <v>-10.461773038421658</v>
      </c>
      <c r="F306" s="304">
        <f t="shared" ca="1" si="126"/>
        <v>10.471307648992205</v>
      </c>
      <c r="G306" s="306">
        <f t="shared" ca="1" si="127"/>
        <v>24.588367040955443</v>
      </c>
      <c r="H306" s="307">
        <f t="shared" ca="1" si="128"/>
        <v>34.891201065121905</v>
      </c>
      <c r="I306" s="304">
        <f t="shared" ca="1" si="129"/>
        <v>42.684701070846302</v>
      </c>
      <c r="J306" s="306">
        <f t="shared" ca="1" si="130"/>
        <v>351.48580829953448</v>
      </c>
      <c r="K306" s="307">
        <f t="shared" ca="1" si="131"/>
        <v>1276.3654082806811</v>
      </c>
      <c r="L306" s="304">
        <f t="shared" ca="1" si="116"/>
        <v>1323.8772333156451</v>
      </c>
      <c r="M306" s="306">
        <f t="shared" ca="1" si="132"/>
        <v>0.9569126638967923</v>
      </c>
      <c r="N306" s="304">
        <f t="shared" ca="1" si="133"/>
        <v>54.827057003906866</v>
      </c>
      <c r="P306" s="310">
        <f t="shared" ca="1" si="134"/>
        <v>23</v>
      </c>
      <c r="Q306" s="304">
        <f t="shared" ca="1" si="135"/>
        <v>0</v>
      </c>
      <c r="R306" s="306">
        <f t="shared" ca="1" si="136"/>
        <v>0</v>
      </c>
      <c r="S306" s="307">
        <f t="shared" ca="1" si="137"/>
        <v>8.0499999999999989</v>
      </c>
      <c r="T306" s="304">
        <f t="shared" ca="1" si="117"/>
        <v>78.970499999999987</v>
      </c>
      <c r="U306" s="311">
        <f t="shared" ca="1" si="118"/>
        <v>0</v>
      </c>
      <c r="V306" s="306">
        <f t="shared" ca="1" si="119"/>
        <v>1.0780249321122011</v>
      </c>
      <c r="W306" s="304">
        <f t="shared" ca="1" si="120"/>
        <v>6.1031715918122433</v>
      </c>
      <c r="Y306" s="314" t="str">
        <f t="shared" ca="1" si="138"/>
        <v/>
      </c>
      <c r="Z306" s="315" t="str">
        <f t="shared" ca="1" si="139"/>
        <v/>
      </c>
      <c r="AA306" s="316" t="str">
        <f t="shared" ca="1" si="140"/>
        <v/>
      </c>
      <c r="AC306" s="310" t="e">
        <f t="shared" ca="1" si="141"/>
        <v>#N/A</v>
      </c>
      <c r="AD306" s="323" t="e">
        <f t="shared" ca="1" si="142"/>
        <v>#N/A</v>
      </c>
      <c r="AE306" s="324">
        <f t="shared" ca="1" si="121"/>
        <v>1276.3654082806811</v>
      </c>
      <c r="AG306" s="306">
        <f t="shared" ca="1" si="143"/>
        <v>-8.8817997101909061</v>
      </c>
      <c r="AH306" s="304">
        <f t="shared" ca="1" si="144"/>
        <v>-0.79018786754146952</v>
      </c>
    </row>
    <row r="307" spans="1:34" x14ac:dyDescent="0.3">
      <c r="A307" s="347">
        <f t="shared" ca="1" si="122"/>
        <v>0.1</v>
      </c>
      <c r="B307" s="304">
        <f t="shared" ca="1" si="123"/>
        <v>12.299999999999974</v>
      </c>
      <c r="D307" s="306">
        <f t="shared" ca="1" si="124"/>
        <v>-0.4367341405706438</v>
      </c>
      <c r="E307" s="307">
        <f t="shared" ca="1" si="125"/>
        <v>-10.429731220266568</v>
      </c>
      <c r="F307" s="304">
        <f t="shared" ca="1" si="126"/>
        <v>10.43887110929832</v>
      </c>
      <c r="G307" s="306">
        <f t="shared" ca="1" si="127"/>
        <v>24.544693626898379</v>
      </c>
      <c r="H307" s="307">
        <f t="shared" ca="1" si="128"/>
        <v>33.848227943095246</v>
      </c>
      <c r="I307" s="304">
        <f t="shared" ca="1" si="129"/>
        <v>41.810818218805998</v>
      </c>
      <c r="J307" s="306">
        <f t="shared" ca="1" si="130"/>
        <v>353.94246133292717</v>
      </c>
      <c r="K307" s="307">
        <f t="shared" ca="1" si="131"/>
        <v>1279.8023797310921</v>
      </c>
      <c r="L307" s="304">
        <f t="shared" ca="1" si="116"/>
        <v>1327.8438903349208</v>
      </c>
      <c r="M307" s="306">
        <f t="shared" ca="1" si="132"/>
        <v>0.94339657600852878</v>
      </c>
      <c r="N307" s="304">
        <f t="shared" ca="1" si="133"/>
        <v>54.052642212381471</v>
      </c>
      <c r="P307" s="310">
        <f t="shared" ca="1" si="134"/>
        <v>23</v>
      </c>
      <c r="Q307" s="304">
        <f t="shared" ca="1" si="135"/>
        <v>0</v>
      </c>
      <c r="R307" s="306">
        <f t="shared" ca="1" si="136"/>
        <v>0</v>
      </c>
      <c r="S307" s="307">
        <f t="shared" ca="1" si="137"/>
        <v>8.0499999999999989</v>
      </c>
      <c r="T307" s="304">
        <f t="shared" ca="1" si="117"/>
        <v>78.970499999999987</v>
      </c>
      <c r="U307" s="311">
        <f t="shared" ca="1" si="118"/>
        <v>0</v>
      </c>
      <c r="V307" s="306">
        <f t="shared" ca="1" si="119"/>
        <v>1.0776529629181266</v>
      </c>
      <c r="W307" s="304">
        <f t="shared" ca="1" si="120"/>
        <v>5.8538089872594075</v>
      </c>
      <c r="Y307" s="314" t="str">
        <f t="shared" ca="1" si="138"/>
        <v/>
      </c>
      <c r="Z307" s="315" t="str">
        <f t="shared" ca="1" si="139"/>
        <v/>
      </c>
      <c r="AA307" s="316" t="str">
        <f t="shared" ca="1" si="140"/>
        <v/>
      </c>
      <c r="AC307" s="310" t="e">
        <f t="shared" ca="1" si="141"/>
        <v>#N/A</v>
      </c>
      <c r="AD307" s="323" t="e">
        <f t="shared" ca="1" si="142"/>
        <v>#N/A</v>
      </c>
      <c r="AE307" s="324">
        <f t="shared" ca="1" si="121"/>
        <v>1279.8023797310921</v>
      </c>
      <c r="AG307" s="306">
        <f t="shared" ca="1" si="143"/>
        <v>-8.7770189086564709</v>
      </c>
      <c r="AH307" s="304">
        <f t="shared" ca="1" si="144"/>
        <v>-0.75815796171580674</v>
      </c>
    </row>
    <row r="308" spans="1:34" x14ac:dyDescent="0.3">
      <c r="A308" s="347">
        <f t="shared" ca="1" si="122"/>
        <v>0.1</v>
      </c>
      <c r="B308" s="304">
        <f t="shared" ca="1" si="123"/>
        <v>12.399999999999974</v>
      </c>
      <c r="D308" s="306">
        <f t="shared" ca="1" si="124"/>
        <v>-0.42688570861395247</v>
      </c>
      <c r="E308" s="307">
        <f t="shared" ca="1" si="125"/>
        <v>-10.398694444121311</v>
      </c>
      <c r="F308" s="304">
        <f t="shared" ca="1" si="126"/>
        <v>10.407452980937183</v>
      </c>
      <c r="G308" s="306">
        <f t="shared" ca="1" si="127"/>
        <v>24.502005056036985</v>
      </c>
      <c r="H308" s="307">
        <f t="shared" ca="1" si="128"/>
        <v>32.808358498683113</v>
      </c>
      <c r="I308" s="304">
        <f t="shared" ca="1" si="129"/>
        <v>40.947974786845982</v>
      </c>
      <c r="J308" s="306">
        <f t="shared" ca="1" si="130"/>
        <v>356.39479626707396</v>
      </c>
      <c r="K308" s="307">
        <f t="shared" ca="1" si="131"/>
        <v>1283.1352090531809</v>
      </c>
      <c r="L308" s="304">
        <f t="shared" ca="1" si="116"/>
        <v>1331.7106350548529</v>
      </c>
      <c r="M308" s="306">
        <f t="shared" ca="1" si="132"/>
        <v>0.92933222013660166</v>
      </c>
      <c r="N308" s="304">
        <f t="shared" ca="1" si="133"/>
        <v>53.246813979350016</v>
      </c>
      <c r="P308" s="310">
        <f t="shared" ca="1" si="134"/>
        <v>23</v>
      </c>
      <c r="Q308" s="304">
        <f t="shared" ca="1" si="135"/>
        <v>0</v>
      </c>
      <c r="R308" s="306">
        <f t="shared" ca="1" si="136"/>
        <v>0</v>
      </c>
      <c r="S308" s="307">
        <f t="shared" ca="1" si="137"/>
        <v>8.0499999999999989</v>
      </c>
      <c r="T308" s="304">
        <f t="shared" ca="1" si="117"/>
        <v>78.970499999999987</v>
      </c>
      <c r="U308" s="311">
        <f t="shared" ca="1" si="118"/>
        <v>0</v>
      </c>
      <c r="V308" s="306">
        <f t="shared" ca="1" si="119"/>
        <v>1.0772923793275031</v>
      </c>
      <c r="W308" s="304">
        <f t="shared" ca="1" si="120"/>
        <v>5.6128150094000535</v>
      </c>
      <c r="Y308" s="314" t="str">
        <f t="shared" ca="1" si="138"/>
        <v/>
      </c>
      <c r="Z308" s="315" t="str">
        <f t="shared" ca="1" si="139"/>
        <v/>
      </c>
      <c r="AA308" s="316" t="str">
        <f t="shared" ca="1" si="140"/>
        <v/>
      </c>
      <c r="AC308" s="310" t="e">
        <f t="shared" ca="1" si="141"/>
        <v>#N/A</v>
      </c>
      <c r="AD308" s="323" t="e">
        <f t="shared" ca="1" si="142"/>
        <v>#N/A</v>
      </c>
      <c r="AE308" s="324">
        <f t="shared" ca="1" si="121"/>
        <v>1283.1352090531809</v>
      </c>
      <c r="AG308" s="306">
        <f t="shared" ca="1" si="143"/>
        <v>-8.6689324492535089</v>
      </c>
      <c r="AH308" s="304">
        <f t="shared" ca="1" si="144"/>
        <v>-0.72718124065334266</v>
      </c>
    </row>
    <row r="309" spans="1:34" x14ac:dyDescent="0.3">
      <c r="A309" s="347">
        <f t="shared" ca="1" si="122"/>
        <v>0.1</v>
      </c>
      <c r="B309" s="304">
        <f t="shared" ca="1" si="123"/>
        <v>12.499999999999973</v>
      </c>
      <c r="D309" s="306">
        <f t="shared" ca="1" si="124"/>
        <v>-0.41720936299815498</v>
      </c>
      <c r="E309" s="307">
        <f t="shared" ca="1" si="125"/>
        <v>-10.368646295229548</v>
      </c>
      <c r="F309" s="304">
        <f t="shared" ca="1" si="126"/>
        <v>10.377036650612292</v>
      </c>
      <c r="G309" s="306">
        <f t="shared" ca="1" si="127"/>
        <v>24.460284119737171</v>
      </c>
      <c r="H309" s="307">
        <f t="shared" ca="1" si="128"/>
        <v>31.771493869160157</v>
      </c>
      <c r="I309" s="304">
        <f t="shared" ca="1" si="129"/>
        <v>40.096549999923283</v>
      </c>
      <c r="J309" s="306">
        <f t="shared" ca="1" si="130"/>
        <v>358.84291072586268</v>
      </c>
      <c r="K309" s="307">
        <f t="shared" ca="1" si="131"/>
        <v>1286.364201671573</v>
      </c>
      <c r="L309" s="304">
        <f t="shared" ca="1" si="116"/>
        <v>1335.4778522762379</v>
      </c>
      <c r="M309" s="306">
        <f t="shared" ca="1" si="132"/>
        <v>0.91469203013714884</v>
      </c>
      <c r="N309" s="304">
        <f t="shared" ca="1" si="133"/>
        <v>52.407992881111731</v>
      </c>
      <c r="P309" s="310">
        <f t="shared" ca="1" si="134"/>
        <v>23</v>
      </c>
      <c r="Q309" s="304">
        <f t="shared" ca="1" si="135"/>
        <v>0</v>
      </c>
      <c r="R309" s="306">
        <f t="shared" ca="1" si="136"/>
        <v>0</v>
      </c>
      <c r="S309" s="307">
        <f t="shared" ca="1" si="137"/>
        <v>8.0499999999999989</v>
      </c>
      <c r="T309" s="304">
        <f t="shared" ca="1" si="117"/>
        <v>78.970499999999987</v>
      </c>
      <c r="U309" s="311">
        <f t="shared" ca="1" si="118"/>
        <v>0</v>
      </c>
      <c r="V309" s="306">
        <f t="shared" ca="1" si="119"/>
        <v>1.0769431376708349</v>
      </c>
      <c r="W309" s="304">
        <f t="shared" ca="1" si="120"/>
        <v>5.3800842044051258</v>
      </c>
      <c r="Y309" s="314" t="str">
        <f t="shared" ca="1" si="138"/>
        <v/>
      </c>
      <c r="Z309" s="315" t="str">
        <f t="shared" ca="1" si="139"/>
        <v/>
      </c>
      <c r="AA309" s="316" t="str">
        <f t="shared" ca="1" si="140"/>
        <v/>
      </c>
      <c r="AC309" s="310" t="e">
        <f t="shared" ca="1" si="141"/>
        <v>#N/A</v>
      </c>
      <c r="AD309" s="323" t="e">
        <f t="shared" ca="1" si="142"/>
        <v>#N/A</v>
      </c>
      <c r="AE309" s="324">
        <f t="shared" ca="1" si="121"/>
        <v>1286.364201671573</v>
      </c>
      <c r="AG309" s="306">
        <f t="shared" ca="1" si="143"/>
        <v>-8.5572176046689847</v>
      </c>
      <c r="AH309" s="304">
        <f t="shared" ca="1" si="144"/>
        <v>-0.69724410054659058</v>
      </c>
    </row>
    <row r="310" spans="1:34" x14ac:dyDescent="0.3">
      <c r="A310" s="347">
        <f t="shared" ca="1" si="122"/>
        <v>0.1</v>
      </c>
      <c r="B310" s="304">
        <f t="shared" ca="1" si="123"/>
        <v>12.599999999999973</v>
      </c>
      <c r="D310" s="306">
        <f t="shared" ca="1" si="124"/>
        <v>-0.40770654499816372</v>
      </c>
      <c r="E310" s="307">
        <f t="shared" ca="1" si="125"/>
        <v>-10.33957054510963</v>
      </c>
      <c r="F310" s="304">
        <f t="shared" ca="1" si="126"/>
        <v>10.347605698137757</v>
      </c>
      <c r="G310" s="306">
        <f t="shared" ca="1" si="127"/>
        <v>24.419513465237355</v>
      </c>
      <c r="H310" s="307">
        <f t="shared" ca="1" si="128"/>
        <v>30.737536814649193</v>
      </c>
      <c r="I310" s="304">
        <f t="shared" ca="1" si="129"/>
        <v>39.256958711938232</v>
      </c>
      <c r="J310" s="306">
        <f t="shared" ca="1" si="130"/>
        <v>361.28690060511138</v>
      </c>
      <c r="K310" s="307">
        <f t="shared" ca="1" si="131"/>
        <v>1289.4896532057635</v>
      </c>
      <c r="L310" s="304">
        <f t="shared" ca="1" si="116"/>
        <v>1339.1459182156245</v>
      </c>
      <c r="M310" s="306">
        <f t="shared" ca="1" si="132"/>
        <v>0.89944716210638265</v>
      </c>
      <c r="N310" s="304">
        <f t="shared" ca="1" si="133"/>
        <v>51.534526283714911</v>
      </c>
      <c r="P310" s="310">
        <f t="shared" ca="1" si="134"/>
        <v>23</v>
      </c>
      <c r="Q310" s="304">
        <f t="shared" ca="1" si="135"/>
        <v>0</v>
      </c>
      <c r="R310" s="306">
        <f t="shared" ca="1" si="136"/>
        <v>0</v>
      </c>
      <c r="S310" s="307">
        <f t="shared" ca="1" si="137"/>
        <v>8.0499999999999989</v>
      </c>
      <c r="T310" s="304">
        <f t="shared" ca="1" si="117"/>
        <v>78.970499999999987</v>
      </c>
      <c r="U310" s="311">
        <f t="shared" ca="1" si="118"/>
        <v>0</v>
      </c>
      <c r="V310" s="306">
        <f t="shared" ca="1" si="119"/>
        <v>1.0766051957178597</v>
      </c>
      <c r="W310" s="304">
        <f t="shared" ca="1" si="120"/>
        <v>5.1555150669342824</v>
      </c>
      <c r="Y310" s="314" t="str">
        <f t="shared" ca="1" si="138"/>
        <v/>
      </c>
      <c r="Z310" s="315" t="str">
        <f t="shared" ca="1" si="139"/>
        <v/>
      </c>
      <c r="AA310" s="316" t="str">
        <f t="shared" ca="1" si="140"/>
        <v/>
      </c>
      <c r="AC310" s="310" t="e">
        <f t="shared" ca="1" si="141"/>
        <v>#N/A</v>
      </c>
      <c r="AD310" s="323" t="e">
        <f t="shared" ca="1" si="142"/>
        <v>#N/A</v>
      </c>
      <c r="AE310" s="324">
        <f t="shared" ca="1" si="121"/>
        <v>1289.4896532057635</v>
      </c>
      <c r="AG310" s="306">
        <f t="shared" ca="1" si="143"/>
        <v>-8.441529760352914</v>
      </c>
      <c r="AH310" s="304">
        <f t="shared" ca="1" si="144"/>
        <v>-0.66833344154100949</v>
      </c>
    </row>
    <row r="311" spans="1:34" x14ac:dyDescent="0.3">
      <c r="A311" s="347">
        <f t="shared" ca="1" si="122"/>
        <v>0.1</v>
      </c>
      <c r="B311" s="304">
        <f t="shared" ca="1" si="123"/>
        <v>12.699999999999973</v>
      </c>
      <c r="D311" s="306">
        <f t="shared" ca="1" si="124"/>
        <v>-0.39837909038038316</v>
      </c>
      <c r="E311" s="307">
        <f t="shared" ca="1" si="125"/>
        <v>-10.311451102790613</v>
      </c>
      <c r="F311" s="304">
        <f t="shared" ca="1" si="126"/>
        <v>10.319143847475626</v>
      </c>
      <c r="G311" s="306">
        <f t="shared" ca="1" si="127"/>
        <v>24.379675556199317</v>
      </c>
      <c r="H311" s="307">
        <f t="shared" ca="1" si="128"/>
        <v>29.70639170437013</v>
      </c>
      <c r="I311" s="304">
        <f t="shared" ca="1" si="129"/>
        <v>38.429653762674114</v>
      </c>
      <c r="J311" s="306">
        <f t="shared" ca="1" si="130"/>
        <v>363.72686005618323</v>
      </c>
      <c r="K311" s="307">
        <f t="shared" ca="1" si="131"/>
        <v>1292.5118496317145</v>
      </c>
      <c r="L311" s="304">
        <f t="shared" ca="1" si="116"/>
        <v>1342.7152006902752</v>
      </c>
      <c r="M311" s="306">
        <f t="shared" ca="1" si="132"/>
        <v>0.88356750414669383</v>
      </c>
      <c r="N311" s="304">
        <f t="shared" ca="1" si="133"/>
        <v>50.624688902513419</v>
      </c>
      <c r="P311" s="310">
        <f t="shared" ca="1" si="134"/>
        <v>23</v>
      </c>
      <c r="Q311" s="304">
        <f t="shared" ca="1" si="135"/>
        <v>0</v>
      </c>
      <c r="R311" s="306">
        <f t="shared" ca="1" si="136"/>
        <v>0</v>
      </c>
      <c r="S311" s="307">
        <f t="shared" ca="1" si="137"/>
        <v>8.0499999999999989</v>
      </c>
      <c r="T311" s="304">
        <f t="shared" ca="1" si="117"/>
        <v>78.970499999999987</v>
      </c>
      <c r="U311" s="311">
        <f t="shared" ca="1" si="118"/>
        <v>0</v>
      </c>
      <c r="V311" s="306">
        <f t="shared" ca="1" si="119"/>
        <v>1.0762785126545569</v>
      </c>
      <c r="W311" s="304">
        <f t="shared" ca="1" si="120"/>
        <v>4.9390099353873218</v>
      </c>
      <c r="Y311" s="314" t="str">
        <f t="shared" ca="1" si="138"/>
        <v/>
      </c>
      <c r="Z311" s="315" t="str">
        <f t="shared" ca="1" si="139"/>
        <v/>
      </c>
      <c r="AA311" s="316" t="str">
        <f t="shared" ca="1" si="140"/>
        <v/>
      </c>
      <c r="AC311" s="310" t="e">
        <f t="shared" ca="1" si="141"/>
        <v>#N/A</v>
      </c>
      <c r="AD311" s="323" t="e">
        <f t="shared" ca="1" si="142"/>
        <v>#N/A</v>
      </c>
      <c r="AE311" s="324">
        <f t="shared" ca="1" si="121"/>
        <v>1292.5118496317145</v>
      </c>
      <c r="AG311" s="306">
        <f t="shared" ca="1" si="143"/>
        <v>-8.3215012615572341</v>
      </c>
      <c r="AH311" s="304">
        <f t="shared" ca="1" si="144"/>
        <v>-0.6404366542775507</v>
      </c>
    </row>
    <row r="312" spans="1:34" x14ac:dyDescent="0.3">
      <c r="A312" s="347">
        <f t="shared" ca="1" si="122"/>
        <v>0.1</v>
      </c>
      <c r="B312" s="304">
        <f t="shared" ca="1" si="123"/>
        <v>12.799999999999972</v>
      </c>
      <c r="D312" s="306">
        <f t="shared" ca="1" si="124"/>
        <v>-0.38922925010846637</v>
      </c>
      <c r="E312" s="307">
        <f t="shared" ca="1" si="125"/>
        <v>-10.284271962310024</v>
      </c>
      <c r="F312" s="304">
        <f t="shared" ca="1" si="126"/>
        <v>10.291634914040435</v>
      </c>
      <c r="G312" s="306">
        <f t="shared" ca="1" si="127"/>
        <v>24.340752631188469</v>
      </c>
      <c r="H312" s="307">
        <f t="shared" ca="1" si="128"/>
        <v>28.677964508139127</v>
      </c>
      <c r="I312" s="304">
        <f t="shared" ca="1" si="129"/>
        <v>37.615128432358112</v>
      </c>
      <c r="J312" s="306">
        <f t="shared" ca="1" si="130"/>
        <v>366.16288146555263</v>
      </c>
      <c r="K312" s="307">
        <f t="shared" ca="1" si="131"/>
        <v>1295.43106744234</v>
      </c>
      <c r="L312" s="304">
        <f t="shared" ca="1" si="116"/>
        <v>1346.1860593015947</v>
      </c>
      <c r="M312" s="306">
        <f t="shared" ca="1" si="132"/>
        <v>0.86702170590313787</v>
      </c>
      <c r="N312" s="304">
        <f t="shared" ca="1" si="133"/>
        <v>49.676684494482693</v>
      </c>
      <c r="P312" s="310">
        <f t="shared" ca="1" si="134"/>
        <v>23</v>
      </c>
      <c r="Q312" s="304">
        <f t="shared" ca="1" si="135"/>
        <v>0</v>
      </c>
      <c r="R312" s="306">
        <f t="shared" ca="1" si="136"/>
        <v>0</v>
      </c>
      <c r="S312" s="307">
        <f t="shared" ca="1" si="137"/>
        <v>8.0499999999999989</v>
      </c>
      <c r="T312" s="304">
        <f t="shared" ca="1" si="117"/>
        <v>78.970499999999987</v>
      </c>
      <c r="U312" s="311">
        <f t="shared" ca="1" si="118"/>
        <v>0</v>
      </c>
      <c r="V312" s="306">
        <f t="shared" ca="1" si="119"/>
        <v>1.0759630490605083</v>
      </c>
      <c r="W312" s="304">
        <f t="shared" ca="1" si="120"/>
        <v>4.730474890475433</v>
      </c>
      <c r="Y312" s="314" t="str">
        <f t="shared" ca="1" si="138"/>
        <v/>
      </c>
      <c r="Z312" s="315" t="str">
        <f t="shared" ca="1" si="139"/>
        <v/>
      </c>
      <c r="AA312" s="316" t="str">
        <f t="shared" ca="1" si="140"/>
        <v/>
      </c>
      <c r="AC312" s="310" t="e">
        <f t="shared" ca="1" si="141"/>
        <v>#N/A</v>
      </c>
      <c r="AD312" s="323" t="e">
        <f t="shared" ca="1" si="142"/>
        <v>#N/A</v>
      </c>
      <c r="AE312" s="324">
        <f t="shared" ca="1" si="121"/>
        <v>1295.43106744234</v>
      </c>
      <c r="AG312" s="306">
        <f t="shared" ca="1" si="143"/>
        <v>-8.1967403632251958</v>
      </c>
      <c r="AH312" s="304">
        <f t="shared" ca="1" si="144"/>
        <v>-0.6135416068804127</v>
      </c>
    </row>
    <row r="313" spans="1:34" x14ac:dyDescent="0.3">
      <c r="A313" s="347">
        <f t="shared" ca="1" si="122"/>
        <v>0.1</v>
      </c>
      <c r="B313" s="304">
        <f t="shared" ca="1" si="123"/>
        <v>12.899999999999972</v>
      </c>
      <c r="D313" s="306">
        <f t="shared" ca="1" si="124"/>
        <v>-0.38025971201860048</v>
      </c>
      <c r="E313" s="307">
        <f t="shared" ca="1" si="125"/>
        <v>-10.258017145992916</v>
      </c>
      <c r="F313" s="304">
        <f t="shared" ca="1" si="126"/>
        <v>10.265062747790152</v>
      </c>
      <c r="G313" s="306">
        <f t="shared" ca="1" si="127"/>
        <v>24.302726659986607</v>
      </c>
      <c r="H313" s="307">
        <f t="shared" ca="1" si="128"/>
        <v>27.652162793539834</v>
      </c>
      <c r="I313" s="304">
        <f t="shared" ca="1" si="129"/>
        <v>36.81391897462769</v>
      </c>
      <c r="J313" s="306">
        <f t="shared" ca="1" si="130"/>
        <v>368.59505543011136</v>
      </c>
      <c r="K313" s="307">
        <f t="shared" ca="1" si="131"/>
        <v>1298.247573807424</v>
      </c>
      <c r="L313" s="304">
        <f t="shared" ca="1" si="116"/>
        <v>1349.5588456174817</v>
      </c>
      <c r="M313" s="306">
        <f t="shared" ca="1" si="132"/>
        <v>0.84977723262231497</v>
      </c>
      <c r="N313" s="304">
        <f t="shared" ca="1" si="133"/>
        <v>48.688648955565426</v>
      </c>
      <c r="P313" s="310">
        <f t="shared" ca="1" si="134"/>
        <v>23</v>
      </c>
      <c r="Q313" s="304">
        <f t="shared" ca="1" si="135"/>
        <v>0</v>
      </c>
      <c r="R313" s="306">
        <f t="shared" ca="1" si="136"/>
        <v>0</v>
      </c>
      <c r="S313" s="307">
        <f t="shared" ca="1" si="137"/>
        <v>8.0499999999999989</v>
      </c>
      <c r="T313" s="304">
        <f t="shared" ca="1" si="117"/>
        <v>78.970499999999987</v>
      </c>
      <c r="U313" s="311">
        <f t="shared" ca="1" si="118"/>
        <v>0</v>
      </c>
      <c r="V313" s="306">
        <f t="shared" ca="1" si="119"/>
        <v>1.0756587668865385</v>
      </c>
      <c r="W313" s="304">
        <f t="shared" ca="1" si="120"/>
        <v>4.5298196568445821</v>
      </c>
      <c r="Y313" s="314" t="str">
        <f t="shared" ca="1" si="138"/>
        <v/>
      </c>
      <c r="Z313" s="315" t="str">
        <f t="shared" ca="1" si="139"/>
        <v/>
      </c>
      <c r="AA313" s="316" t="str">
        <f t="shared" ca="1" si="140"/>
        <v/>
      </c>
      <c r="AC313" s="310" t="e">
        <f t="shared" ca="1" si="141"/>
        <v>#N/A</v>
      </c>
      <c r="AD313" s="323" t="e">
        <f t="shared" ca="1" si="142"/>
        <v>#N/A</v>
      </c>
      <c r="AE313" s="324">
        <f t="shared" ca="1" si="121"/>
        <v>1298.247573807424</v>
      </c>
      <c r="AG313" s="306">
        <f t="shared" ca="1" si="143"/>
        <v>-8.0668303384414823</v>
      </c>
      <c r="AH313" s="304">
        <f t="shared" ca="1" si="144"/>
        <v>-0.58763663235719676</v>
      </c>
    </row>
    <row r="314" spans="1:34" x14ac:dyDescent="0.3">
      <c r="A314" s="347">
        <f t="shared" ca="1" si="122"/>
        <v>0.1</v>
      </c>
      <c r="B314" s="304">
        <f t="shared" ca="1" si="123"/>
        <v>12.999999999999972</v>
      </c>
      <c r="D314" s="306">
        <f t="shared" ca="1" si="124"/>
        <v>-0.37147362326908684</v>
      </c>
      <c r="E314" s="307">
        <f t="shared" ca="1" si="125"/>
        <v>-10.232670643004655</v>
      </c>
      <c r="F314" s="304">
        <f t="shared" ca="1" si="126"/>
        <v>10.239411171595462</v>
      </c>
      <c r="G314" s="306">
        <f t="shared" ca="1" si="127"/>
        <v>24.265579297659698</v>
      </c>
      <c r="H314" s="307">
        <f t="shared" ca="1" si="128"/>
        <v>26.628895729239368</v>
      </c>
      <c r="I314" s="304">
        <f t="shared" ca="1" si="129"/>
        <v>36.026607200924616</v>
      </c>
      <c r="J314" s="306">
        <f t="shared" ca="1" si="130"/>
        <v>371.0234707279937</v>
      </c>
      <c r="K314" s="307">
        <f t="shared" ca="1" si="131"/>
        <v>1300.961626733563</v>
      </c>
      <c r="L314" s="304">
        <f t="shared" ca="1" si="116"/>
        <v>1352.8339033540979</v>
      </c>
      <c r="M314" s="306">
        <f t="shared" ca="1" si="132"/>
        <v>0.83180044925995167</v>
      </c>
      <c r="N314" s="304">
        <f t="shared" ca="1" si="133"/>
        <v>47.658655139681009</v>
      </c>
      <c r="P314" s="310">
        <f t="shared" ca="1" si="134"/>
        <v>23</v>
      </c>
      <c r="Q314" s="304">
        <f t="shared" ca="1" si="135"/>
        <v>0</v>
      </c>
      <c r="R314" s="306">
        <f t="shared" ca="1" si="136"/>
        <v>0</v>
      </c>
      <c r="S314" s="307">
        <f t="shared" ca="1" si="137"/>
        <v>8.0499999999999989</v>
      </c>
      <c r="T314" s="304">
        <f t="shared" ca="1" si="117"/>
        <v>78.970499999999987</v>
      </c>
      <c r="U314" s="311">
        <f t="shared" ca="1" si="118"/>
        <v>0</v>
      </c>
      <c r="V314" s="306">
        <f t="shared" ca="1" si="119"/>
        <v>1.0753656294325713</v>
      </c>
      <c r="W314" s="304">
        <f t="shared" ca="1" si="120"/>
        <v>4.3369575074780844</v>
      </c>
      <c r="Y314" s="314" t="str">
        <f t="shared" ca="1" si="138"/>
        <v/>
      </c>
      <c r="Z314" s="315" t="str">
        <f t="shared" ca="1" si="139"/>
        <v/>
      </c>
      <c r="AA314" s="316" t="str">
        <f t="shared" ca="1" si="140"/>
        <v/>
      </c>
      <c r="AC314" s="310">
        <f t="shared" ca="1" si="141"/>
        <v>12.999999999999972</v>
      </c>
      <c r="AD314" s="323">
        <f t="shared" ca="1" si="142"/>
        <v>371.0234707279937</v>
      </c>
      <c r="AE314" s="324">
        <f t="shared" ca="1" si="121"/>
        <v>1300.961626733563</v>
      </c>
      <c r="AG314" s="306">
        <f t="shared" ca="1" si="143"/>
        <v>-7.9313288151142007</v>
      </c>
      <c r="AH314" s="304">
        <f t="shared" ca="1" si="144"/>
        <v>-0.56271051637820901</v>
      </c>
    </row>
    <row r="315" spans="1:34" x14ac:dyDescent="0.3">
      <c r="A315" s="347">
        <f t="shared" ca="1" si="122"/>
        <v>0.1</v>
      </c>
      <c r="B315" s="304">
        <f t="shared" ca="1" si="123"/>
        <v>13.099999999999971</v>
      </c>
      <c r="D315" s="306">
        <f t="shared" ca="1" si="124"/>
        <v>-0.36287461329341603</v>
      </c>
      <c r="E315" s="307">
        <f t="shared" ca="1" si="125"/>
        <v>-10.208216342649211</v>
      </c>
      <c r="F315" s="304">
        <f t="shared" ca="1" si="126"/>
        <v>10.214663914358772</v>
      </c>
      <c r="G315" s="306">
        <f t="shared" ca="1" si="127"/>
        <v>24.229291836330358</v>
      </c>
      <c r="H315" s="307">
        <f t="shared" ca="1" si="128"/>
        <v>25.608074094974448</v>
      </c>
      <c r="I315" s="304">
        <f t="shared" ca="1" si="129"/>
        <v>35.253823079827335</v>
      </c>
      <c r="J315" s="306">
        <f t="shared" ca="1" si="130"/>
        <v>373.44821428469322</v>
      </c>
      <c r="K315" s="307">
        <f t="shared" ca="1" si="131"/>
        <v>1303.5734752247736</v>
      </c>
      <c r="L315" s="304">
        <f t="shared" ca="1" si="116"/>
        <v>1356.0115685575915</v>
      </c>
      <c r="M315" s="306">
        <f t="shared" ca="1" si="132"/>
        <v>0.81305674099069447</v>
      </c>
      <c r="N315" s="304">
        <f t="shared" ca="1" si="133"/>
        <v>46.584719763428112</v>
      </c>
      <c r="P315" s="310">
        <f t="shared" ca="1" si="134"/>
        <v>23</v>
      </c>
      <c r="Q315" s="304">
        <f t="shared" ca="1" si="135"/>
        <v>0</v>
      </c>
      <c r="R315" s="306">
        <f t="shared" ca="1" si="136"/>
        <v>0</v>
      </c>
      <c r="S315" s="307">
        <f t="shared" ca="1" si="137"/>
        <v>8.0499999999999989</v>
      </c>
      <c r="T315" s="304">
        <f t="shared" ca="1" si="117"/>
        <v>78.970499999999987</v>
      </c>
      <c r="U315" s="311">
        <f t="shared" ca="1" si="118"/>
        <v>0</v>
      </c>
      <c r="V315" s="306">
        <f t="shared" ca="1" si="119"/>
        <v>1.0750836013256224</v>
      </c>
      <c r="W315" s="304">
        <f t="shared" ca="1" si="120"/>
        <v>4.1518051705983954</v>
      </c>
      <c r="Y315" s="314" t="str">
        <f t="shared" ca="1" si="138"/>
        <v/>
      </c>
      <c r="Z315" s="315" t="str">
        <f t="shared" ca="1" si="139"/>
        <v/>
      </c>
      <c r="AA315" s="316" t="str">
        <f t="shared" ca="1" si="140"/>
        <v/>
      </c>
      <c r="AC315" s="310" t="e">
        <f t="shared" ca="1" si="141"/>
        <v>#N/A</v>
      </c>
      <c r="AD315" s="323" t="e">
        <f t="shared" ca="1" si="142"/>
        <v>#N/A</v>
      </c>
      <c r="AE315" s="324">
        <f t="shared" ca="1" si="121"/>
        <v>1303.5734752247736</v>
      </c>
      <c r="AG315" s="306">
        <f t="shared" ca="1" si="143"/>
        <v>-7.789767426856101</v>
      </c>
      <c r="AH315" s="304">
        <f t="shared" ca="1" si="144"/>
        <v>-0.53875248540100429</v>
      </c>
    </row>
    <row r="316" spans="1:34" x14ac:dyDescent="0.3">
      <c r="A316" s="347">
        <f t="shared" ca="1" si="122"/>
        <v>0.1</v>
      </c>
      <c r="B316" s="304">
        <f t="shared" ca="1" si="123"/>
        <v>13.199999999999971</v>
      </c>
      <c r="D316" s="306">
        <f t="shared" ca="1" si="124"/>
        <v>-0.35446681689359955</v>
      </c>
      <c r="E316" s="307">
        <f t="shared" ca="1" si="125"/>
        <v>-10.184637961874326</v>
      </c>
      <c r="F316" s="304">
        <f t="shared" ca="1" si="126"/>
        <v>10.190804538343885</v>
      </c>
      <c r="G316" s="306">
        <f t="shared" ca="1" si="127"/>
        <v>24.193845154640996</v>
      </c>
      <c r="H316" s="307">
        <f t="shared" ca="1" si="128"/>
        <v>24.589610298787015</v>
      </c>
      <c r="I316" s="304">
        <f t="shared" ca="1" si="129"/>
        <v>34.496247303336602</v>
      </c>
      <c r="J316" s="306">
        <f t="shared" ca="1" si="130"/>
        <v>375.86937113424182</v>
      </c>
      <c r="K316" s="307">
        <f t="shared" ca="1" si="131"/>
        <v>1306.0833594444616</v>
      </c>
      <c r="L316" s="304">
        <f t="shared" ca="1" si="116"/>
        <v>1359.0921697863546</v>
      </c>
      <c r="M316" s="306">
        <f t="shared" ca="1" si="132"/>
        <v>0.79351067732827185</v>
      </c>
      <c r="N316" s="304">
        <f t="shared" ca="1" si="133"/>
        <v>45.464812809477273</v>
      </c>
      <c r="P316" s="310">
        <f t="shared" ca="1" si="134"/>
        <v>23</v>
      </c>
      <c r="Q316" s="304">
        <f t="shared" ca="1" si="135"/>
        <v>0</v>
      </c>
      <c r="R316" s="306">
        <f t="shared" ca="1" si="136"/>
        <v>0</v>
      </c>
      <c r="S316" s="307">
        <f t="shared" ca="1" si="137"/>
        <v>8.0499999999999989</v>
      </c>
      <c r="T316" s="304">
        <f t="shared" ca="1" si="117"/>
        <v>78.970499999999987</v>
      </c>
      <c r="U316" s="311">
        <f t="shared" ca="1" si="118"/>
        <v>0</v>
      </c>
      <c r="V316" s="306">
        <f t="shared" ca="1" si="119"/>
        <v>1.0748126484978529</v>
      </c>
      <c r="W316" s="304">
        <f t="shared" ca="1" si="120"/>
        <v>3.974282738779396</v>
      </c>
      <c r="Y316" s="314" t="str">
        <f t="shared" ca="1" si="138"/>
        <v/>
      </c>
      <c r="Z316" s="315" t="str">
        <f t="shared" ca="1" si="139"/>
        <v/>
      </c>
      <c r="AA316" s="316" t="str">
        <f t="shared" ca="1" si="140"/>
        <v/>
      </c>
      <c r="AC316" s="310" t="e">
        <f t="shared" ca="1" si="141"/>
        <v>#N/A</v>
      </c>
      <c r="AD316" s="323" t="e">
        <f t="shared" ca="1" si="142"/>
        <v>#N/A</v>
      </c>
      <c r="AE316" s="324">
        <f t="shared" ca="1" si="121"/>
        <v>1306.0833594444616</v>
      </c>
      <c r="AG316" s="306">
        <f t="shared" ca="1" si="143"/>
        <v>-7.6416518827182136</v>
      </c>
      <c r="AH316" s="304">
        <f t="shared" ca="1" si="144"/>
        <v>-0.51575219510539083</v>
      </c>
    </row>
    <row r="317" spans="1:34" x14ac:dyDescent="0.3">
      <c r="A317" s="347">
        <f t="shared" ca="1" si="122"/>
        <v>0.1</v>
      </c>
      <c r="B317" s="304">
        <f t="shared" ca="1" si="123"/>
        <v>13.299999999999971</v>
      </c>
      <c r="D317" s="306">
        <f t="shared" ca="1" si="124"/>
        <v>-0.34625489699898926</v>
      </c>
      <c r="E317" s="307">
        <f t="shared" ca="1" si="125"/>
        <v>-10.161918966449139</v>
      </c>
      <c r="F317" s="304">
        <f t="shared" ca="1" si="126"/>
        <v>10.167816360181497</v>
      </c>
      <c r="G317" s="306">
        <f t="shared" ca="1" si="127"/>
        <v>24.159219664941098</v>
      </c>
      <c r="H317" s="307">
        <f t="shared" ca="1" si="128"/>
        <v>23.573418402142103</v>
      </c>
      <c r="I317" s="304">
        <f t="shared" ca="1" si="129"/>
        <v>33.754613758437955</v>
      </c>
      <c r="J317" s="306">
        <f t="shared" ca="1" si="130"/>
        <v>378.28702437522094</v>
      </c>
      <c r="K317" s="307">
        <f t="shared" ca="1" si="131"/>
        <v>1308.491510879508</v>
      </c>
      <c r="L317" s="304">
        <f t="shared" ca="1" si="116"/>
        <v>1362.0760282944548</v>
      </c>
      <c r="M317" s="306">
        <f t="shared" ca="1" si="132"/>
        <v>0.77312622790586993</v>
      </c>
      <c r="N317" s="304">
        <f t="shared" ca="1" si="133"/>
        <v>44.296869889875758</v>
      </c>
      <c r="P317" s="310">
        <f t="shared" ca="1" si="134"/>
        <v>23</v>
      </c>
      <c r="Q317" s="304">
        <f t="shared" ca="1" si="135"/>
        <v>0</v>
      </c>
      <c r="R317" s="306">
        <f t="shared" ca="1" si="136"/>
        <v>0</v>
      </c>
      <c r="S317" s="307">
        <f t="shared" ca="1" si="137"/>
        <v>8.0499999999999989</v>
      </c>
      <c r="T317" s="304">
        <f t="shared" ca="1" si="117"/>
        <v>78.970499999999987</v>
      </c>
      <c r="U317" s="311">
        <f t="shared" ca="1" si="118"/>
        <v>0</v>
      </c>
      <c r="V317" s="306">
        <f t="shared" ca="1" si="119"/>
        <v>1.0745527381645952</v>
      </c>
      <c r="W317" s="304">
        <f t="shared" ca="1" si="120"/>
        <v>3.804313579970072</v>
      </c>
      <c r="Y317" s="314" t="str">
        <f t="shared" ca="1" si="138"/>
        <v/>
      </c>
      <c r="Z317" s="315" t="str">
        <f t="shared" ca="1" si="139"/>
        <v/>
      </c>
      <c r="AA317" s="316" t="str">
        <f t="shared" ca="1" si="140"/>
        <v/>
      </c>
      <c r="AC317" s="310" t="e">
        <f t="shared" ca="1" si="141"/>
        <v>#N/A</v>
      </c>
      <c r="AD317" s="323" t="e">
        <f t="shared" ca="1" si="142"/>
        <v>#N/A</v>
      </c>
      <c r="AE317" s="324">
        <f t="shared" ca="1" si="121"/>
        <v>1308.491510879508</v>
      </c>
      <c r="AG317" s="306">
        <f t="shared" ca="1" si="143"/>
        <v>-7.4864625813917787</v>
      </c>
      <c r="AH317" s="304">
        <f t="shared" ca="1" si="144"/>
        <v>-0.49369971910303062</v>
      </c>
    </row>
    <row r="318" spans="1:34" x14ac:dyDescent="0.3">
      <c r="A318" s="347">
        <f t="shared" ca="1" si="122"/>
        <v>0.1</v>
      </c>
      <c r="B318" s="304">
        <f t="shared" ca="1" si="123"/>
        <v>13.39999999999997</v>
      </c>
      <c r="D318" s="306">
        <f t="shared" ca="1" si="124"/>
        <v>-0.33824406648325028</v>
      </c>
      <c r="E318" s="307">
        <f t="shared" ca="1" si="125"/>
        <v>-10.140042485305209</v>
      </c>
      <c r="F318" s="304">
        <f t="shared" ca="1" si="126"/>
        <v>10.14568236504109</v>
      </c>
      <c r="G318" s="306">
        <f t="shared" ca="1" si="127"/>
        <v>24.125395258292773</v>
      </c>
      <c r="H318" s="307">
        <f t="shared" ca="1" si="128"/>
        <v>22.559414153611581</v>
      </c>
      <c r="I318" s="304">
        <f t="shared" ca="1" si="129"/>
        <v>33.02971182621831</v>
      </c>
      <c r="J318" s="306">
        <f t="shared" ca="1" si="130"/>
        <v>380.70125512138264</v>
      </c>
      <c r="K318" s="307">
        <f t="shared" ca="1" si="131"/>
        <v>1310.7981525072958</v>
      </c>
      <c r="L318" s="304">
        <f t="shared" ca="1" si="116"/>
        <v>1364.9634582169356</v>
      </c>
      <c r="M318" s="306">
        <f t="shared" ca="1" si="132"/>
        <v>0.75186703873555771</v>
      </c>
      <c r="N318" s="304">
        <f t="shared" ca="1" si="133"/>
        <v>43.078808074546643</v>
      </c>
      <c r="P318" s="310">
        <f t="shared" ca="1" si="134"/>
        <v>23</v>
      </c>
      <c r="Q318" s="304">
        <f t="shared" ca="1" si="135"/>
        <v>0</v>
      </c>
      <c r="R318" s="306">
        <f t="shared" ca="1" si="136"/>
        <v>0</v>
      </c>
      <c r="S318" s="307">
        <f t="shared" ca="1" si="137"/>
        <v>8.0499999999999989</v>
      </c>
      <c r="T318" s="304">
        <f t="shared" ca="1" si="117"/>
        <v>78.970499999999987</v>
      </c>
      <c r="U318" s="311">
        <f t="shared" ca="1" si="118"/>
        <v>0</v>
      </c>
      <c r="V318" s="306">
        <f t="shared" ca="1" si="119"/>
        <v>1.0743038388022534</v>
      </c>
      <c r="W318" s="304">
        <f t="shared" ca="1" si="120"/>
        <v>3.6418242501181752</v>
      </c>
      <c r="Y318" s="314" t="str">
        <f t="shared" ca="1" si="138"/>
        <v/>
      </c>
      <c r="Z318" s="315" t="str">
        <f t="shared" ca="1" si="139"/>
        <v/>
      </c>
      <c r="AA318" s="316" t="str">
        <f t="shared" ca="1" si="140"/>
        <v/>
      </c>
      <c r="AC318" s="310" t="e">
        <f t="shared" ca="1" si="141"/>
        <v>#N/A</v>
      </c>
      <c r="AD318" s="323" t="e">
        <f t="shared" ca="1" si="142"/>
        <v>#N/A</v>
      </c>
      <c r="AE318" s="324">
        <f t="shared" ca="1" si="121"/>
        <v>1310.7981525072958</v>
      </c>
      <c r="AG318" s="306">
        <f t="shared" ca="1" si="143"/>
        <v>-7.3236559183655796</v>
      </c>
      <c r="AH318" s="304">
        <f t="shared" ca="1" si="144"/>
        <v>-0.47258553788448104</v>
      </c>
    </row>
    <row r="319" spans="1:34" x14ac:dyDescent="0.3">
      <c r="A319" s="347">
        <f t="shared" ca="1" si="122"/>
        <v>0.1</v>
      </c>
      <c r="B319" s="304">
        <f t="shared" ca="1" si="123"/>
        <v>13.49999999999997</v>
      </c>
      <c r="D319" s="306">
        <f t="shared" ca="1" si="124"/>
        <v>-0.33044010827706199</v>
      </c>
      <c r="E319" s="307">
        <f t="shared" ca="1" si="125"/>
        <v>-10.1189912175853</v>
      </c>
      <c r="F319" s="304">
        <f t="shared" ca="1" si="126"/>
        <v>10.124385113513146</v>
      </c>
      <c r="G319" s="306">
        <f t="shared" ca="1" si="127"/>
        <v>24.092351247465068</v>
      </c>
      <c r="H319" s="307">
        <f t="shared" ca="1" si="128"/>
        <v>21.547515031853052</v>
      </c>
      <c r="I319" s="304">
        <f t="shared" ca="1" si="129"/>
        <v>32.322388412355373</v>
      </c>
      <c r="J319" s="306">
        <f t="shared" ca="1" si="130"/>
        <v>383.11214244667053</v>
      </c>
      <c r="K319" s="307">
        <f t="shared" ca="1" si="131"/>
        <v>1313.0034989665689</v>
      </c>
      <c r="L319" s="304">
        <f t="shared" ca="1" si="116"/>
        <v>1367.7547667577442</v>
      </c>
      <c r="M319" s="306">
        <f t="shared" ca="1" si="132"/>
        <v>0.72969677837773439</v>
      </c>
      <c r="N319" s="304">
        <f t="shared" ca="1" si="133"/>
        <v>41.808545725337169</v>
      </c>
      <c r="P319" s="310">
        <f t="shared" ca="1" si="134"/>
        <v>23</v>
      </c>
      <c r="Q319" s="304">
        <f t="shared" ca="1" si="135"/>
        <v>0</v>
      </c>
      <c r="R319" s="306">
        <f t="shared" ca="1" si="136"/>
        <v>0</v>
      </c>
      <c r="S319" s="307">
        <f t="shared" ca="1" si="137"/>
        <v>8.0499999999999989</v>
      </c>
      <c r="T319" s="304">
        <f t="shared" ca="1" si="117"/>
        <v>78.970499999999987</v>
      </c>
      <c r="U319" s="311">
        <f t="shared" ca="1" si="118"/>
        <v>0</v>
      </c>
      <c r="V319" s="306">
        <f t="shared" ca="1" si="119"/>
        <v>1.0740659201259892</v>
      </c>
      <c r="W319" s="304">
        <f t="shared" ca="1" si="120"/>
        <v>3.486744407069025</v>
      </c>
      <c r="Y319" s="314" t="str">
        <f t="shared" ca="1" si="138"/>
        <v/>
      </c>
      <c r="Z319" s="315" t="str">
        <f t="shared" ca="1" si="139"/>
        <v/>
      </c>
      <c r="AA319" s="316" t="str">
        <f t="shared" ca="1" si="140"/>
        <v/>
      </c>
      <c r="AC319" s="310" t="e">
        <f t="shared" ca="1" si="141"/>
        <v>#N/A</v>
      </c>
      <c r="AD319" s="323" t="e">
        <f t="shared" ca="1" si="142"/>
        <v>#N/A</v>
      </c>
      <c r="AE319" s="324">
        <f t="shared" ca="1" si="121"/>
        <v>1313.0034989665689</v>
      </c>
      <c r="AG319" s="306">
        <f t="shared" ca="1" si="143"/>
        <v>-7.1526664585705344</v>
      </c>
      <c r="AH319" s="304">
        <f t="shared" ca="1" si="144"/>
        <v>-0.45240052796499075</v>
      </c>
    </row>
    <row r="320" spans="1:34" x14ac:dyDescent="0.3">
      <c r="A320" s="347">
        <f t="shared" ca="1" si="122"/>
        <v>0.1</v>
      </c>
      <c r="B320" s="304">
        <f t="shared" ca="1" si="123"/>
        <v>13.599999999999969</v>
      </c>
      <c r="D320" s="306">
        <f t="shared" ca="1" si="124"/>
        <v>-0.32284939283614611</v>
      </c>
      <c r="E320" s="307">
        <f t="shared" ca="1" si="125"/>
        <v>-10.098747332035243</v>
      </c>
      <c r="F320" s="304">
        <f t="shared" ca="1" si="126"/>
        <v>10.103906640836684</v>
      </c>
      <c r="G320" s="306">
        <f t="shared" ca="1" si="127"/>
        <v>24.060066308181455</v>
      </c>
      <c r="H320" s="307">
        <f t="shared" ca="1" si="128"/>
        <v>20.537640298649528</v>
      </c>
      <c r="I320" s="304">
        <f t="shared" ca="1" si="129"/>
        <v>31.633549592020202</v>
      </c>
      <c r="J320" s="306">
        <f t="shared" ca="1" si="130"/>
        <v>385.51976332445287</v>
      </c>
      <c r="K320" s="307">
        <f t="shared" ca="1" si="131"/>
        <v>1315.107756733094</v>
      </c>
      <c r="L320" s="304">
        <f t="shared" ca="1" si="116"/>
        <v>1370.4502543811259</v>
      </c>
      <c r="M320" s="306">
        <f t="shared" ca="1" si="132"/>
        <v>0.70657956379339948</v>
      </c>
      <c r="N320" s="304">
        <f t="shared" ca="1" si="133"/>
        <v>40.484026895556504</v>
      </c>
      <c r="P320" s="310">
        <f t="shared" ca="1" si="134"/>
        <v>23</v>
      </c>
      <c r="Q320" s="304">
        <f t="shared" ca="1" si="135"/>
        <v>0</v>
      </c>
      <c r="R320" s="306">
        <f t="shared" ca="1" si="136"/>
        <v>0</v>
      </c>
      <c r="S320" s="307">
        <f t="shared" ca="1" si="137"/>
        <v>8.0499999999999989</v>
      </c>
      <c r="T320" s="304">
        <f t="shared" ca="1" si="117"/>
        <v>78.970499999999987</v>
      </c>
      <c r="U320" s="311">
        <f t="shared" ca="1" si="118"/>
        <v>0</v>
      </c>
      <c r="V320" s="306">
        <f t="shared" ca="1" si="119"/>
        <v>1.073838953067066</v>
      </c>
      <c r="W320" s="304">
        <f t="shared" ca="1" si="120"/>
        <v>3.3390067253992446</v>
      </c>
      <c r="Y320" s="314" t="str">
        <f t="shared" ca="1" si="138"/>
        <v/>
      </c>
      <c r="Z320" s="315" t="str">
        <f t="shared" ca="1" si="139"/>
        <v/>
      </c>
      <c r="AA320" s="316" t="str">
        <f t="shared" ca="1" si="140"/>
        <v/>
      </c>
      <c r="AC320" s="310" t="e">
        <f t="shared" ca="1" si="141"/>
        <v>#N/A</v>
      </c>
      <c r="AD320" s="323" t="e">
        <f t="shared" ca="1" si="142"/>
        <v>#N/A</v>
      </c>
      <c r="AE320" s="324">
        <f t="shared" ca="1" si="121"/>
        <v>1315.107756733094</v>
      </c>
      <c r="AG320" s="306">
        <f t="shared" ca="1" si="143"/>
        <v>-6.9729101710194676</v>
      </c>
      <c r="AH320" s="304">
        <f t="shared" ca="1" si="144"/>
        <v>-0.4331359511886988</v>
      </c>
    </row>
    <row r="321" spans="1:34" x14ac:dyDescent="0.3">
      <c r="A321" s="347">
        <f t="shared" ca="1" si="122"/>
        <v>0.1</v>
      </c>
      <c r="B321" s="304">
        <f t="shared" ca="1" si="123"/>
        <v>13.699999999999969</v>
      </c>
      <c r="D321" s="306">
        <f t="shared" ca="1" si="124"/>
        <v>-0.3154788918243201</v>
      </c>
      <c r="E321" s="307">
        <f t="shared" ca="1" si="125"/>
        <v>-10.079292358512797</v>
      </c>
      <c r="F321" s="304">
        <f t="shared" ca="1" si="126"/>
        <v>10.084228348245649</v>
      </c>
      <c r="G321" s="306">
        <f t="shared" ca="1" si="127"/>
        <v>24.028518418999024</v>
      </c>
      <c r="H321" s="307">
        <f t="shared" ca="1" si="128"/>
        <v>19.529711062798249</v>
      </c>
      <c r="I321" s="304">
        <f t="shared" ca="1" si="129"/>
        <v>30.964161729466532</v>
      </c>
      <c r="J321" s="306">
        <f t="shared" ca="1" si="130"/>
        <v>387.92419256081189</v>
      </c>
      <c r="K321" s="307">
        <f t="shared" ca="1" si="131"/>
        <v>1317.1111243011665</v>
      </c>
      <c r="L321" s="304">
        <f t="shared" ca="1" si="116"/>
        <v>1373.0502150073903</v>
      </c>
      <c r="M321" s="306">
        <f t="shared" ca="1" si="132"/>
        <v>0.68248047557646108</v>
      </c>
      <c r="N321" s="304">
        <f t="shared" ca="1" si="133"/>
        <v>39.103250850612476</v>
      </c>
      <c r="P321" s="310">
        <f t="shared" ca="1" si="134"/>
        <v>23</v>
      </c>
      <c r="Q321" s="304">
        <f t="shared" ca="1" si="135"/>
        <v>0</v>
      </c>
      <c r="R321" s="306">
        <f t="shared" ca="1" si="136"/>
        <v>0</v>
      </c>
      <c r="S321" s="307">
        <f t="shared" ca="1" si="137"/>
        <v>8.0499999999999989</v>
      </c>
      <c r="T321" s="304">
        <f t="shared" ca="1" si="117"/>
        <v>78.970499999999987</v>
      </c>
      <c r="U321" s="311">
        <f t="shared" ca="1" si="118"/>
        <v>0</v>
      </c>
      <c r="V321" s="306">
        <f t="shared" ca="1" si="119"/>
        <v>1.0736229097497543</v>
      </c>
      <c r="W321" s="304">
        <f t="shared" ca="1" si="120"/>
        <v>3.1985468118295119</v>
      </c>
      <c r="Y321" s="314" t="str">
        <f t="shared" ca="1" si="138"/>
        <v/>
      </c>
      <c r="Z321" s="315" t="str">
        <f t="shared" ca="1" si="139"/>
        <v/>
      </c>
      <c r="AA321" s="316" t="str">
        <f t="shared" ca="1" si="140"/>
        <v/>
      </c>
      <c r="AC321" s="310" t="e">
        <f t="shared" ca="1" si="141"/>
        <v>#N/A</v>
      </c>
      <c r="AD321" s="323" t="e">
        <f t="shared" ca="1" si="142"/>
        <v>#N/A</v>
      </c>
      <c r="AE321" s="324">
        <f t="shared" ca="1" si="121"/>
        <v>1317.1111243011665</v>
      </c>
      <c r="AG321" s="306">
        <f t="shared" ca="1" si="143"/>
        <v>-6.7837889439483154</v>
      </c>
      <c r="AH321" s="304">
        <f t="shared" ca="1" si="144"/>
        <v>-0.41478344414897456</v>
      </c>
    </row>
    <row r="322" spans="1:34" x14ac:dyDescent="0.3">
      <c r="A322" s="347">
        <f t="shared" ca="1" si="122"/>
        <v>0.1</v>
      </c>
      <c r="B322" s="304">
        <f t="shared" ca="1" si="123"/>
        <v>13.799999999999969</v>
      </c>
      <c r="D322" s="306">
        <f t="shared" ca="1" si="124"/>
        <v>-0.30833618665293477</v>
      </c>
      <c r="E322" s="307">
        <f t="shared" ca="1" si="125"/>
        <v>-10.060607071586052</v>
      </c>
      <c r="F322" s="304">
        <f t="shared" ca="1" si="126"/>
        <v>10.065330886406414</v>
      </c>
      <c r="G322" s="306">
        <f t="shared" ca="1" si="127"/>
        <v>23.99768480033373</v>
      </c>
      <c r="H322" s="307">
        <f t="shared" ca="1" si="128"/>
        <v>18.523650355639646</v>
      </c>
      <c r="I322" s="304">
        <f t="shared" ca="1" si="129"/>
        <v>30.315251908472696</v>
      </c>
      <c r="J322" s="306">
        <f t="shared" ca="1" si="130"/>
        <v>390.32550272177855</v>
      </c>
      <c r="K322" s="307">
        <f t="shared" ca="1" si="131"/>
        <v>1319.0137923720883</v>
      </c>
      <c r="L322" s="304">
        <f t="shared" ca="1" si="116"/>
        <v>1375.5549362140384</v>
      </c>
      <c r="M322" s="306">
        <f t="shared" ca="1" si="132"/>
        <v>0.65736617158720412</v>
      </c>
      <c r="N322" s="304">
        <f t="shared" ca="1" si="133"/>
        <v>37.664307226619492</v>
      </c>
      <c r="P322" s="310">
        <f t="shared" ca="1" si="134"/>
        <v>23</v>
      </c>
      <c r="Q322" s="304">
        <f t="shared" ca="1" si="135"/>
        <v>0</v>
      </c>
      <c r="R322" s="306">
        <f t="shared" ca="1" si="136"/>
        <v>0</v>
      </c>
      <c r="S322" s="307">
        <f t="shared" ca="1" si="137"/>
        <v>8.0499999999999989</v>
      </c>
      <c r="T322" s="304">
        <f t="shared" ca="1" si="117"/>
        <v>78.970499999999987</v>
      </c>
      <c r="U322" s="311">
        <f t="shared" ca="1" si="118"/>
        <v>0</v>
      </c>
      <c r="V322" s="306">
        <f t="shared" ca="1" si="119"/>
        <v>1.0734177634676578</v>
      </c>
      <c r="W322" s="304">
        <f t="shared" ca="1" si="120"/>
        <v>3.0653031208434949</v>
      </c>
      <c r="Y322" s="314" t="str">
        <f t="shared" ca="1" si="138"/>
        <v/>
      </c>
      <c r="Z322" s="315" t="str">
        <f t="shared" ca="1" si="139"/>
        <v/>
      </c>
      <c r="AA322" s="316" t="str">
        <f t="shared" ca="1" si="140"/>
        <v/>
      </c>
      <c r="AC322" s="310" t="e">
        <f t="shared" ca="1" si="141"/>
        <v>#N/A</v>
      </c>
      <c r="AD322" s="323" t="e">
        <f t="shared" ca="1" si="142"/>
        <v>#N/A</v>
      </c>
      <c r="AE322" s="324">
        <f t="shared" ca="1" si="121"/>
        <v>1319.0137923720883</v>
      </c>
      <c r="AG322" s="306">
        <f t="shared" ca="1" si="143"/>
        <v>-6.5846966162376752</v>
      </c>
      <c r="AH322" s="304">
        <f t="shared" ca="1" si="144"/>
        <v>-0.39733500768068475</v>
      </c>
    </row>
    <row r="323" spans="1:34" x14ac:dyDescent="0.3">
      <c r="A323" s="347">
        <f t="shared" ca="1" si="122"/>
        <v>0.1</v>
      </c>
      <c r="B323" s="304">
        <f t="shared" ca="1" si="123"/>
        <v>13.899999999999968</v>
      </c>
      <c r="D323" s="306">
        <f t="shared" ca="1" si="124"/>
        <v>-0.30142947028765144</v>
      </c>
      <c r="E323" s="307">
        <f t="shared" ca="1" si="125"/>
        <v>-10.042671366465171</v>
      </c>
      <c r="F323" s="304">
        <f t="shared" ca="1" si="126"/>
        <v>10.04719403118987</v>
      </c>
      <c r="G323" s="306">
        <f t="shared" ca="1" si="127"/>
        <v>23.967541853304965</v>
      </c>
      <c r="H323" s="307">
        <f t="shared" ca="1" si="128"/>
        <v>17.519383218993127</v>
      </c>
      <c r="I323" s="304">
        <f t="shared" ca="1" si="129"/>
        <v>29.687907485436948</v>
      </c>
      <c r="J323" s="306">
        <f t="shared" ca="1" si="130"/>
        <v>392.7237640544605</v>
      </c>
      <c r="K323" s="307">
        <f t="shared" ca="1" si="131"/>
        <v>1320.81594405082</v>
      </c>
      <c r="L323" s="304">
        <f t="shared" ca="1" si="116"/>
        <v>1377.9646994433356</v>
      </c>
      <c r="M323" s="306">
        <f t="shared" ca="1" si="132"/>
        <v>0.63120560651370439</v>
      </c>
      <c r="N323" s="304">
        <f t="shared" ca="1" si="133"/>
        <v>36.165417258230605</v>
      </c>
      <c r="P323" s="310">
        <f t="shared" ca="1" si="134"/>
        <v>23</v>
      </c>
      <c r="Q323" s="304">
        <f t="shared" ca="1" si="135"/>
        <v>0</v>
      </c>
      <c r="R323" s="306">
        <f t="shared" ca="1" si="136"/>
        <v>0</v>
      </c>
      <c r="S323" s="307">
        <f t="shared" ca="1" si="137"/>
        <v>8.0499999999999989</v>
      </c>
      <c r="T323" s="304">
        <f t="shared" ca="1" si="117"/>
        <v>78.970499999999987</v>
      </c>
      <c r="U323" s="311">
        <f t="shared" ca="1" si="118"/>
        <v>0</v>
      </c>
      <c r="V323" s="306">
        <f t="shared" ca="1" si="119"/>
        <v>1.0732234886593328</v>
      </c>
      <c r="W323" s="304">
        <f t="shared" ca="1" si="120"/>
        <v>2.9392168701237642</v>
      </c>
      <c r="Y323" s="314" t="str">
        <f t="shared" ca="1" si="138"/>
        <v/>
      </c>
      <c r="Z323" s="315" t="str">
        <f t="shared" ca="1" si="139"/>
        <v/>
      </c>
      <c r="AA323" s="316" t="str">
        <f t="shared" ca="1" si="140"/>
        <v/>
      </c>
      <c r="AC323" s="310" t="e">
        <f t="shared" ca="1" si="141"/>
        <v>#N/A</v>
      </c>
      <c r="AD323" s="323" t="e">
        <f t="shared" ca="1" si="142"/>
        <v>#N/A</v>
      </c>
      <c r="AE323" s="324">
        <f t="shared" ca="1" si="121"/>
        <v>1320.81594405082</v>
      </c>
      <c r="AG323" s="306">
        <f t="shared" ca="1" si="143"/>
        <v>-6.3750267696926386</v>
      </c>
      <c r="AH323" s="304">
        <f t="shared" ca="1" si="144"/>
        <v>-0.38078299637807395</v>
      </c>
    </row>
    <row r="324" spans="1:34" x14ac:dyDescent="0.3">
      <c r="A324" s="347">
        <f t="shared" ca="1" si="122"/>
        <v>0.1</v>
      </c>
      <c r="B324" s="304">
        <f t="shared" ca="1" si="123"/>
        <v>13.999999999999968</v>
      </c>
      <c r="D324" s="306">
        <f t="shared" ca="1" si="124"/>
        <v>-0.29476754050183002</v>
      </c>
      <c r="E324" s="307">
        <f t="shared" ca="1" si="125"/>
        <v>-10.025464127868396</v>
      </c>
      <c r="F324" s="304">
        <f t="shared" ca="1" si="126"/>
        <v>10.029796552378793</v>
      </c>
      <c r="G324" s="306">
        <f t="shared" ca="1" si="127"/>
        <v>23.938065099254782</v>
      </c>
      <c r="H324" s="307">
        <f t="shared" ca="1" si="128"/>
        <v>16.516836806206289</v>
      </c>
      <c r="I324" s="304">
        <f t="shared" ca="1" si="129"/>
        <v>29.083274553925502</v>
      </c>
      <c r="J324" s="306">
        <f t="shared" ca="1" si="130"/>
        <v>395.11904440208849</v>
      </c>
      <c r="K324" s="307">
        <f t="shared" ca="1" si="131"/>
        <v>1322.51775505208</v>
      </c>
      <c r="L324" s="304">
        <f t="shared" ref="L324:L387" ca="1" si="145">SQRT(pos_x^2+pos_z^2)</f>
        <v>1380.2797802174794</v>
      </c>
      <c r="M324" s="306">
        <f t="shared" ca="1" si="132"/>
        <v>0.60397086233036179</v>
      </c>
      <c r="N324" s="304">
        <f t="shared" ca="1" si="133"/>
        <v>34.604981360406605</v>
      </c>
      <c r="P324" s="310">
        <f t="shared" ca="1" si="134"/>
        <v>23</v>
      </c>
      <c r="Q324" s="304">
        <f t="shared" ca="1" si="135"/>
        <v>0</v>
      </c>
      <c r="R324" s="306">
        <f t="shared" ca="1" si="136"/>
        <v>0</v>
      </c>
      <c r="S324" s="307">
        <f t="shared" ca="1" si="137"/>
        <v>8.0499999999999989</v>
      </c>
      <c r="T324" s="304">
        <f t="shared" ref="T324:T387" ca="1" si="146">m*g</f>
        <v>78.970499999999987</v>
      </c>
      <c r="U324" s="311">
        <f t="shared" ref="U324:U387" ca="1" si="147">IF(pos_xz&lt;L_rampe,Poids*COS(Beta),0)</f>
        <v>0</v>
      </c>
      <c r="V324" s="306">
        <f t="shared" ref="V324:V387" ca="1" si="148">Rho_moyen*(20000-Alt_rampe-pos_z)/(20000+Alt_rampe+pos_z)</f>
        <v>1.0730400608830597</v>
      </c>
      <c r="W324" s="304">
        <f t="shared" ref="W324:W387" ca="1" si="149">1/2*Rho*Sref*Cx*vit_xz^2</f>
        <v>2.8202319553997754</v>
      </c>
      <c r="Y324" s="314" t="str">
        <f t="shared" ca="1" si="138"/>
        <v/>
      </c>
      <c r="Z324" s="315" t="str">
        <f t="shared" ca="1" si="139"/>
        <v/>
      </c>
      <c r="AA324" s="316" t="str">
        <f t="shared" ca="1" si="140"/>
        <v/>
      </c>
      <c r="AC324" s="310">
        <f t="shared" ca="1" si="141"/>
        <v>13.999999999999968</v>
      </c>
      <c r="AD324" s="323">
        <f t="shared" ca="1" si="142"/>
        <v>395.11904440208849</v>
      </c>
      <c r="AE324" s="324">
        <f t="shared" ref="AE324:AE387" ca="1" si="150">IF(t&lt;T_para, pos_z, NA())</f>
        <v>1322.51775505208</v>
      </c>
      <c r="AG324" s="306">
        <f t="shared" ca="1" si="143"/>
        <v>-6.1541825222270115</v>
      </c>
      <c r="AH324" s="304">
        <f t="shared" ca="1" si="144"/>
        <v>-0.36512010808990863</v>
      </c>
    </row>
    <row r="325" spans="1:34" x14ac:dyDescent="0.3">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-0.2883597825386921</v>
      </c>
      <c r="E325" s="307">
        <f t="shared" ref="E325:E388" ca="1" si="154">IF(AND(L324&lt;L_rampe,Poussee&lt;Poids*SIN(M324)),0,(-W324+Poussee)/m*SIN(M324)+U324/m*COS(M324)-Poids/m)</f>
        <v>-10.008963092878087</v>
      </c>
      <c r="F325" s="304">
        <f t="shared" ref="F325:F388" ca="1" si="155">SQRT(acc_x^2+acc_z^2)</f>
        <v>10.01311607636611</v>
      </c>
      <c r="G325" s="306">
        <f t="shared" ref="G325:G388" ca="1" si="156">G324+acc_x*pas</f>
        <v>23.909229121000912</v>
      </c>
      <c r="H325" s="307">
        <f t="shared" ref="H325:H388" ca="1" si="157">H324+acc_z*pas</f>
        <v>15.51594049691848</v>
      </c>
      <c r="I325" s="304">
        <f t="shared" ref="I325:I388" ca="1" si="158">SQRT(vit_x^2+vit_z^2)</f>
        <v>28.502555090104341</v>
      </c>
      <c r="J325" s="306">
        <f t="shared" ref="J325:J388" ca="1" si="159">J324+0.5*(vit_x+G324)*pas*(K324&gt;=0)</f>
        <v>397.51140911310125</v>
      </c>
      <c r="K325" s="307">
        <f t="shared" ref="K325:K388" ca="1" si="160">K324+0.5*(vit_z+H324)*pas</f>
        <v>1324.1193939172363</v>
      </c>
      <c r="L325" s="304">
        <f t="shared" ca="1" si="145"/>
        <v>1382.5004483626153</v>
      </c>
      <c r="M325" s="306">
        <f t="shared" ref="M325:M388" ca="1" si="161">IF(AND(L324&gt;L_rampe,G325&gt;0),ATAN2(G325,H325),$M$4)</f>
        <v>0.57563809074592764</v>
      </c>
      <c r="N325" s="304">
        <f t="shared" ref="N325:N388" ca="1" si="162">DEGREES(Beta)</f>
        <v>32.981633126710342</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8.0499999999999989</v>
      </c>
      <c r="T325" s="304">
        <f t="shared" ca="1" si="146"/>
        <v>78.970499999999987</v>
      </c>
      <c r="U325" s="311">
        <f t="shared" ca="1" si="147"/>
        <v>0</v>
      </c>
      <c r="V325" s="306">
        <f t="shared" ca="1" si="148"/>
        <v>1.0728674567906136</v>
      </c>
      <c r="W325" s="304">
        <f t="shared" ca="1" si="149"/>
        <v>2.7082948642893951</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1324.1193939172363</v>
      </c>
      <c r="AG325" s="306">
        <f t="shared" ref="AG325:AG388" ca="1" si="172">IF(AND(L324&lt;L_rampe,Poussee&lt;Poids*SIN(M324)),0,(-W324+Poussee)/m-Poids*SIN(M324)/m)</f>
        <v>-5.921588538164869</v>
      </c>
      <c r="AH325" s="304">
        <f t="shared" ref="AH325:AH388" ca="1" si="173">IF(AND(L324&lt;L_rampe,Poussee&lt;Poids*SIN(M324)), g*SIN(M324), (-W324+Poussee)/m)</f>
        <v>-0.35033937334158705</v>
      </c>
    </row>
    <row r="326" spans="1:34" x14ac:dyDescent="0.3">
      <c r="A326" s="347">
        <f t="shared" ca="1" si="151"/>
        <v>0.1</v>
      </c>
      <c r="B326" s="304">
        <f t="shared" ca="1" si="152"/>
        <v>14.199999999999967</v>
      </c>
      <c r="D326" s="306">
        <f t="shared" ca="1" si="153"/>
        <v>-0.28221613896406411</v>
      </c>
      <c r="E326" s="307">
        <f t="shared" ca="1" si="154"/>
        <v>-9.9931447094038806</v>
      </c>
      <c r="F326" s="304">
        <f t="shared" ca="1" si="155"/>
        <v>9.9971289444609326</v>
      </c>
      <c r="G326" s="306">
        <f t="shared" ca="1" si="156"/>
        <v>23.881007507104506</v>
      </c>
      <c r="H326" s="307">
        <f t="shared" ca="1" si="157"/>
        <v>14.516626025978091</v>
      </c>
      <c r="I326" s="304">
        <f t="shared" ca="1" si="158"/>
        <v>27.947002535736928</v>
      </c>
      <c r="J326" s="306">
        <f t="shared" ca="1" si="159"/>
        <v>399.90092094450654</v>
      </c>
      <c r="K326" s="307">
        <f t="shared" ca="1" si="160"/>
        <v>1325.621022243381</v>
      </c>
      <c r="L326" s="304">
        <f t="shared" ca="1" si="145"/>
        <v>1384.6269682430177</v>
      </c>
      <c r="M326" s="306">
        <f t="shared" ca="1" si="161"/>
        <v>0.54618856329904986</v>
      </c>
      <c r="N326" s="304">
        <f t="shared" ca="1" si="162"/>
        <v>31.29429949534957</v>
      </c>
      <c r="P326" s="310">
        <f t="shared" ca="1" si="163"/>
        <v>23</v>
      </c>
      <c r="Q326" s="304">
        <f t="shared" ca="1" si="164"/>
        <v>0</v>
      </c>
      <c r="R326" s="306">
        <f t="shared" ca="1" si="165"/>
        <v>0</v>
      </c>
      <c r="S326" s="307">
        <f t="shared" ca="1" si="166"/>
        <v>8.0499999999999989</v>
      </c>
      <c r="T326" s="304">
        <f t="shared" ca="1" si="146"/>
        <v>78.970499999999987</v>
      </c>
      <c r="U326" s="311">
        <f t="shared" ca="1" si="147"/>
        <v>0</v>
      </c>
      <c r="V326" s="306">
        <f t="shared" ca="1" si="148"/>
        <v>1.0727056540998858</v>
      </c>
      <c r="W326" s="304">
        <f t="shared" ca="1" si="149"/>
        <v>2.603354588705209</v>
      </c>
      <c r="Y326" s="314" t="str">
        <f t="shared" ca="1" si="167"/>
        <v/>
      </c>
      <c r="Z326" s="315" t="str">
        <f t="shared" ca="1" si="168"/>
        <v/>
      </c>
      <c r="AA326" s="316" t="str">
        <f t="shared" ca="1" si="169"/>
        <v/>
      </c>
      <c r="AC326" s="310" t="e">
        <f t="shared" ca="1" si="170"/>
        <v>#N/A</v>
      </c>
      <c r="AD326" s="323" t="e">
        <f t="shared" ca="1" si="171"/>
        <v>#N/A</v>
      </c>
      <c r="AE326" s="324">
        <f t="shared" ca="1" si="150"/>
        <v>1325.621022243381</v>
      </c>
      <c r="AG326" s="306">
        <f t="shared" ca="1" si="172"/>
        <v>-5.6767054218418851</v>
      </c>
      <c r="AH326" s="304">
        <f t="shared" ca="1" si="173"/>
        <v>-0.33643414463222304</v>
      </c>
    </row>
    <row r="327" spans="1:34" x14ac:dyDescent="0.3">
      <c r="A327" s="347">
        <f t="shared" ca="1" si="151"/>
        <v>0.1</v>
      </c>
      <c r="B327" s="304">
        <f t="shared" ca="1" si="152"/>
        <v>14.299999999999967</v>
      </c>
      <c r="D327" s="306">
        <f t="shared" ca="1" si="153"/>
        <v>-0.27634706437691059</v>
      </c>
      <c r="E327" s="307">
        <f t="shared" ca="1" si="154"/>
        <v>-9.9779839925406435</v>
      </c>
      <c r="F327" s="304">
        <f t="shared" ca="1" si="155"/>
        <v>9.9818100690900273</v>
      </c>
      <c r="G327" s="306">
        <f t="shared" ca="1" si="156"/>
        <v>23.853372800666815</v>
      </c>
      <c r="H327" s="307">
        <f t="shared" ca="1" si="157"/>
        <v>13.518827626724027</v>
      </c>
      <c r="I327" s="304">
        <f t="shared" ca="1" si="158"/>
        <v>27.417915573009342</v>
      </c>
      <c r="J327" s="306">
        <f t="shared" ca="1" si="159"/>
        <v>402.2876399598951</v>
      </c>
      <c r="K327" s="307">
        <f t="shared" ca="1" si="160"/>
        <v>1327.0227949260161</v>
      </c>
      <c r="L327" s="304">
        <f t="shared" ca="1" si="145"/>
        <v>1386.6595990068211</v>
      </c>
      <c r="M327" s="306">
        <f t="shared" ca="1" si="161"/>
        <v>0.51560981759000868</v>
      </c>
      <c r="N327" s="304">
        <f t="shared" ca="1" si="162"/>
        <v>29.542266423417733</v>
      </c>
      <c r="P327" s="310">
        <f t="shared" ca="1" si="163"/>
        <v>23</v>
      </c>
      <c r="Q327" s="304">
        <f t="shared" ca="1" si="164"/>
        <v>0</v>
      </c>
      <c r="R327" s="306">
        <f t="shared" ca="1" si="165"/>
        <v>0</v>
      </c>
      <c r="S327" s="307">
        <f t="shared" ca="1" si="166"/>
        <v>8.0499999999999989</v>
      </c>
      <c r="T327" s="304">
        <f t="shared" ca="1" si="146"/>
        <v>78.970499999999987</v>
      </c>
      <c r="U327" s="311">
        <f t="shared" ca="1" si="147"/>
        <v>0</v>
      </c>
      <c r="V327" s="306">
        <f t="shared" ca="1" si="148"/>
        <v>1.0725546315661911</v>
      </c>
      <c r="W327" s="304">
        <f t="shared" ca="1" si="149"/>
        <v>2.5053625353915452</v>
      </c>
      <c r="Y327" s="314" t="str">
        <f t="shared" ca="1" si="167"/>
        <v/>
      </c>
      <c r="Z327" s="315" t="str">
        <f t="shared" ca="1" si="168"/>
        <v/>
      </c>
      <c r="AA327" s="316" t="str">
        <f t="shared" ca="1" si="169"/>
        <v/>
      </c>
      <c r="AC327" s="310" t="e">
        <f t="shared" ca="1" si="170"/>
        <v>#N/A</v>
      </c>
      <c r="AD327" s="323" t="e">
        <f t="shared" ca="1" si="171"/>
        <v>#N/A</v>
      </c>
      <c r="AE327" s="324">
        <f t="shared" ca="1" si="150"/>
        <v>1327.0227949260161</v>
      </c>
      <c r="AG327" s="306">
        <f t="shared" ca="1" si="172"/>
        <v>-5.4190465771132166</v>
      </c>
      <c r="AH327" s="304">
        <f t="shared" ca="1" si="173"/>
        <v>-0.32339808555344213</v>
      </c>
    </row>
    <row r="328" spans="1:34" x14ac:dyDescent="0.3">
      <c r="A328" s="347">
        <f t="shared" ca="1" si="151"/>
        <v>0.1</v>
      </c>
      <c r="B328" s="304">
        <f t="shared" ca="1" si="152"/>
        <v>14.399999999999967</v>
      </c>
      <c r="D328" s="306">
        <f t="shared" ca="1" si="153"/>
        <v>-0.27076346263193013</v>
      </c>
      <c r="E328" s="307">
        <f t="shared" ca="1" si="154"/>
        <v>-9.963454381882368</v>
      </c>
      <c r="F328" s="304">
        <f t="shared" ca="1" si="155"/>
        <v>9.9671327909558514</v>
      </c>
      <c r="G328" s="306">
        <f t="shared" ca="1" si="156"/>
        <v>23.826296454403622</v>
      </c>
      <c r="H328" s="307">
        <f t="shared" ca="1" si="157"/>
        <v>12.52248218853579</v>
      </c>
      <c r="I328" s="304">
        <f t="shared" ca="1" si="158"/>
        <v>26.916629857679485</v>
      </c>
      <c r="J328" s="306">
        <f t="shared" ca="1" si="159"/>
        <v>404.67162342264862</v>
      </c>
      <c r="K328" s="307">
        <f t="shared" ca="1" si="160"/>
        <v>1328.3248604167791</v>
      </c>
      <c r="L328" s="304">
        <f t="shared" ca="1" si="145"/>
        <v>1388.5985948447369</v>
      </c>
      <c r="M328" s="306">
        <f t="shared" ca="1" si="161"/>
        <v>0.48389687917585317</v>
      </c>
      <c r="N328" s="304">
        <f t="shared" ca="1" si="162"/>
        <v>27.725248896328321</v>
      </c>
      <c r="P328" s="310">
        <f t="shared" ca="1" si="163"/>
        <v>23</v>
      </c>
      <c r="Q328" s="304">
        <f t="shared" ca="1" si="164"/>
        <v>0</v>
      </c>
      <c r="R328" s="306">
        <f t="shared" ca="1" si="165"/>
        <v>0</v>
      </c>
      <c r="S328" s="307">
        <f t="shared" ca="1" si="166"/>
        <v>8.0499999999999989</v>
      </c>
      <c r="T328" s="304">
        <f t="shared" ca="1" si="146"/>
        <v>78.970499999999987</v>
      </c>
      <c r="U328" s="311">
        <f t="shared" ca="1" si="147"/>
        <v>0</v>
      </c>
      <c r="V328" s="306">
        <f t="shared" ca="1" si="148"/>
        <v>1.0724143689521095</v>
      </c>
      <c r="W328" s="304">
        <f t="shared" ca="1" si="149"/>
        <v>2.4142724341598689</v>
      </c>
      <c r="Y328" s="314" t="str">
        <f t="shared" ca="1" si="167"/>
        <v/>
      </c>
      <c r="Z328" s="315" t="str">
        <f t="shared" ca="1" si="168"/>
        <v/>
      </c>
      <c r="AA328" s="316" t="str">
        <f t="shared" ca="1" si="169"/>
        <v/>
      </c>
      <c r="AC328" s="310" t="e">
        <f t="shared" ca="1" si="170"/>
        <v>#N/A</v>
      </c>
      <c r="AD328" s="323" t="e">
        <f t="shared" ca="1" si="171"/>
        <v>#N/A</v>
      </c>
      <c r="AE328" s="324">
        <f t="shared" ca="1" si="150"/>
        <v>1328.3248604167791</v>
      </c>
      <c r="AG328" s="306">
        <f t="shared" ca="1" si="172"/>
        <v>-5.148197491326</v>
      </c>
      <c r="AH328" s="304">
        <f t="shared" ca="1" si="173"/>
        <v>-0.31122515967596837</v>
      </c>
    </row>
    <row r="329" spans="1:34" x14ac:dyDescent="0.3">
      <c r="A329" s="347">
        <f t="shared" ca="1" si="151"/>
        <v>0.1</v>
      </c>
      <c r="B329" s="304">
        <f t="shared" ca="1" si="152"/>
        <v>14.499999999999966</v>
      </c>
      <c r="D329" s="306">
        <f t="shared" ca="1" si="153"/>
        <v>-0.26547660435890247</v>
      </c>
      <c r="E329" s="307">
        <f t="shared" ca="1" si="154"/>
        <v>-9.9495276037095941</v>
      </c>
      <c r="F329" s="304">
        <f t="shared" ca="1" si="155"/>
        <v>9.9530687410688117</v>
      </c>
      <c r="G329" s="306">
        <f t="shared" ca="1" si="156"/>
        <v>23.79974879396773</v>
      </c>
      <c r="H329" s="307">
        <f t="shared" ca="1" si="157"/>
        <v>11.527529428164831</v>
      </c>
      <c r="I329" s="304">
        <f t="shared" ca="1" si="158"/>
        <v>26.444507508614613</v>
      </c>
      <c r="J329" s="306">
        <f t="shared" ca="1" si="159"/>
        <v>407.05292568506718</v>
      </c>
      <c r="K329" s="307">
        <f t="shared" ca="1" si="160"/>
        <v>1329.5273609976141</v>
      </c>
      <c r="L329" s="304">
        <f t="shared" ca="1" si="145"/>
        <v>1390.4442052632148</v>
      </c>
      <c r="M329" s="306">
        <f t="shared" ca="1" si="161"/>
        <v>0.45105352803940918</v>
      </c>
      <c r="N329" s="304">
        <f t="shared" ca="1" si="162"/>
        <v>25.843463491143883</v>
      </c>
      <c r="P329" s="310">
        <f t="shared" ca="1" si="163"/>
        <v>23</v>
      </c>
      <c r="Q329" s="304">
        <f t="shared" ca="1" si="164"/>
        <v>0</v>
      </c>
      <c r="R329" s="306">
        <f t="shared" ca="1" si="165"/>
        <v>0</v>
      </c>
      <c r="S329" s="307">
        <f t="shared" ca="1" si="166"/>
        <v>8.0499999999999989</v>
      </c>
      <c r="T329" s="304">
        <f t="shared" ca="1" si="146"/>
        <v>78.970499999999987</v>
      </c>
      <c r="U329" s="311">
        <f t="shared" ca="1" si="147"/>
        <v>0</v>
      </c>
      <c r="V329" s="306">
        <f t="shared" ca="1" si="148"/>
        <v>1.0722848469957</v>
      </c>
      <c r="W329" s="304">
        <f t="shared" ca="1" si="149"/>
        <v>2.3300402434008833</v>
      </c>
      <c r="Y329" s="314" t="str">
        <f t="shared" ca="1" si="167"/>
        <v/>
      </c>
      <c r="Z329" s="315" t="str">
        <f t="shared" ca="1" si="168"/>
        <v/>
      </c>
      <c r="AA329" s="316" t="str">
        <f t="shared" ca="1" si="169"/>
        <v/>
      </c>
      <c r="AC329" s="310" t="e">
        <f t="shared" ca="1" si="170"/>
        <v>#N/A</v>
      </c>
      <c r="AD329" s="323" t="e">
        <f t="shared" ca="1" si="171"/>
        <v>#N/A</v>
      </c>
      <c r="AE329" s="324">
        <f t="shared" ca="1" si="150"/>
        <v>1329.5273609976141</v>
      </c>
      <c r="AG329" s="306">
        <f t="shared" ca="1" si="172"/>
        <v>-4.8638372326396739</v>
      </c>
      <c r="AH329" s="304">
        <f t="shared" ca="1" si="173"/>
        <v>-0.29990961915029429</v>
      </c>
    </row>
    <row r="330" spans="1:34" x14ac:dyDescent="0.3">
      <c r="A330" s="347">
        <f t="shared" ca="1" si="151"/>
        <v>0.1</v>
      </c>
      <c r="B330" s="304">
        <f t="shared" ca="1" si="152"/>
        <v>14.599999999999966</v>
      </c>
      <c r="D330" s="306">
        <f t="shared" ca="1" si="153"/>
        <v>-0.26049802288206508</v>
      </c>
      <c r="E330" s="307">
        <f t="shared" ca="1" si="154"/>
        <v>-9.9361735428700353</v>
      </c>
      <c r="F330" s="304">
        <f t="shared" ca="1" si="155"/>
        <v>9.9395877124735872</v>
      </c>
      <c r="G330" s="306">
        <f t="shared" ca="1" si="156"/>
        <v>23.773698991679524</v>
      </c>
      <c r="H330" s="307">
        <f t="shared" ca="1" si="157"/>
        <v>10.533912073877827</v>
      </c>
      <c r="I330" s="304">
        <f t="shared" ca="1" si="158"/>
        <v>26.002924207234329</v>
      </c>
      <c r="J330" s="306">
        <f t="shared" ca="1" si="159"/>
        <v>409.43159807434955</v>
      </c>
      <c r="K330" s="307">
        <f t="shared" ca="1" si="160"/>
        <v>1330.6304330727162</v>
      </c>
      <c r="L330" s="304">
        <f t="shared" ca="1" si="145"/>
        <v>1392.1966753734903</v>
      </c>
      <c r="M330" s="306">
        <f t="shared" ca="1" si="161"/>
        <v>0.41709356668237979</v>
      </c>
      <c r="N330" s="304">
        <f t="shared" ca="1" si="162"/>
        <v>23.897701032958732</v>
      </c>
      <c r="P330" s="310">
        <f t="shared" ca="1" si="163"/>
        <v>23</v>
      </c>
      <c r="Q330" s="304">
        <f t="shared" ca="1" si="164"/>
        <v>0</v>
      </c>
      <c r="R330" s="306">
        <f t="shared" ca="1" si="165"/>
        <v>0</v>
      </c>
      <c r="S330" s="307">
        <f t="shared" ca="1" si="166"/>
        <v>8.0499999999999989</v>
      </c>
      <c r="T330" s="304">
        <f t="shared" ca="1" si="146"/>
        <v>78.970499999999987</v>
      </c>
      <c r="U330" s="311">
        <f t="shared" ca="1" si="147"/>
        <v>0</v>
      </c>
      <c r="V330" s="306">
        <f t="shared" ca="1" si="148"/>
        <v>1.0721660473769441</v>
      </c>
      <c r="W330" s="304">
        <f t="shared" ca="1" si="149"/>
        <v>2.252624052473819</v>
      </c>
      <c r="Y330" s="314" t="str">
        <f t="shared" ca="1" si="167"/>
        <v/>
      </c>
      <c r="Z330" s="315" t="str">
        <f t="shared" ca="1" si="168"/>
        <v/>
      </c>
      <c r="AA330" s="316" t="str">
        <f t="shared" ca="1" si="169"/>
        <v/>
      </c>
      <c r="AC330" s="310" t="e">
        <f t="shared" ca="1" si="170"/>
        <v>#N/A</v>
      </c>
      <c r="AD330" s="323" t="e">
        <f t="shared" ca="1" si="171"/>
        <v>#N/A</v>
      </c>
      <c r="AE330" s="324">
        <f t="shared" ca="1" si="150"/>
        <v>1330.6304330727162</v>
      </c>
      <c r="AG330" s="306">
        <f t="shared" ca="1" si="172"/>
        <v>-4.5657617327671272</v>
      </c>
      <c r="AH330" s="304">
        <f t="shared" ca="1" si="173"/>
        <v>-0.28944599296905388</v>
      </c>
    </row>
    <row r="331" spans="1:34" x14ac:dyDescent="0.3">
      <c r="A331" s="347">
        <f t="shared" ca="1" si="151"/>
        <v>0.1</v>
      </c>
      <c r="B331" s="304">
        <f t="shared" ca="1" si="152"/>
        <v>14.699999999999966</v>
      </c>
      <c r="D331" s="306">
        <f t="shared" ca="1" si="153"/>
        <v>-0.25583938719286048</v>
      </c>
      <c r="E331" s="307">
        <f t="shared" ca="1" si="154"/>
        <v>-9.9233601300608534</v>
      </c>
      <c r="F331" s="304">
        <f t="shared" ca="1" si="155"/>
        <v>9.9266575473782002</v>
      </c>
      <c r="G331" s="306">
        <f t="shared" ca="1" si="156"/>
        <v>23.748115052960237</v>
      </c>
      <c r="H331" s="307">
        <f t="shared" ca="1" si="157"/>
        <v>9.5415760608717424</v>
      </c>
      <c r="I331" s="304">
        <f t="shared" ca="1" si="158"/>
        <v>25.593253843425952</v>
      </c>
      <c r="J331" s="306">
        <f t="shared" ca="1" si="159"/>
        <v>411.80768877658153</v>
      </c>
      <c r="K331" s="307">
        <f t="shared" ca="1" si="160"/>
        <v>1331.6342074794536</v>
      </c>
      <c r="L331" s="304">
        <f t="shared" ca="1" si="145"/>
        <v>1393.856246197915</v>
      </c>
      <c r="M331" s="306">
        <f t="shared" ca="1" si="161"/>
        <v>0.38204203455014668</v>
      </c>
      <c r="N331" s="304">
        <f t="shared" ca="1" si="162"/>
        <v>21.889396176314584</v>
      </c>
      <c r="P331" s="310">
        <f t="shared" ca="1" si="163"/>
        <v>23</v>
      </c>
      <c r="Q331" s="304">
        <f t="shared" ca="1" si="164"/>
        <v>0</v>
      </c>
      <c r="R331" s="306">
        <f t="shared" ca="1" si="165"/>
        <v>0</v>
      </c>
      <c r="S331" s="307">
        <f t="shared" ca="1" si="166"/>
        <v>8.0499999999999989</v>
      </c>
      <c r="T331" s="304">
        <f t="shared" ca="1" si="146"/>
        <v>78.970499999999987</v>
      </c>
      <c r="U331" s="311">
        <f t="shared" ca="1" si="147"/>
        <v>0</v>
      </c>
      <c r="V331" s="306">
        <f t="shared" ca="1" si="148"/>
        <v>1.0720579526822782</v>
      </c>
      <c r="W331" s="304">
        <f t="shared" ca="1" si="149"/>
        <v>2.1819839806092518</v>
      </c>
      <c r="Y331" s="314" t="str">
        <f t="shared" ca="1" si="167"/>
        <v/>
      </c>
      <c r="Z331" s="315" t="str">
        <f t="shared" ca="1" si="168"/>
        <v/>
      </c>
      <c r="AA331" s="316" t="str">
        <f t="shared" ca="1" si="169"/>
        <v/>
      </c>
      <c r="AC331" s="310" t="e">
        <f t="shared" ca="1" si="170"/>
        <v>#N/A</v>
      </c>
      <c r="AD331" s="323" t="e">
        <f t="shared" ca="1" si="171"/>
        <v>#N/A</v>
      </c>
      <c r="AE331" s="324">
        <f t="shared" ca="1" si="150"/>
        <v>1331.6342074794536</v>
      </c>
      <c r="AG331" s="306">
        <f t="shared" ca="1" si="172"/>
        <v>-4.2539081676840986</v>
      </c>
      <c r="AH331" s="304">
        <f t="shared" ca="1" si="173"/>
        <v>-0.27982907484146824</v>
      </c>
    </row>
    <row r="332" spans="1:34" x14ac:dyDescent="0.3">
      <c r="A332" s="347">
        <f t="shared" ca="1" si="151"/>
        <v>0.1</v>
      </c>
      <c r="B332" s="304">
        <f t="shared" ca="1" si="152"/>
        <v>14.799999999999965</v>
      </c>
      <c r="D332" s="306">
        <f t="shared" ca="1" si="153"/>
        <v>-0.25151235144572548</v>
      </c>
      <c r="E332" s="307">
        <f t="shared" ca="1" si="154"/>
        <v>-9.9110532510145042</v>
      </c>
      <c r="F332" s="304">
        <f t="shared" ca="1" si="155"/>
        <v>9.9142440461880366</v>
      </c>
      <c r="G332" s="306">
        <f t="shared" ca="1" si="156"/>
        <v>23.722963817815664</v>
      </c>
      <c r="H332" s="307">
        <f t="shared" ca="1" si="157"/>
        <v>8.5504707357702916</v>
      </c>
      <c r="I332" s="304">
        <f t="shared" ca="1" si="158"/>
        <v>25.216850757076216</v>
      </c>
      <c r="J332" s="306">
        <f t="shared" ca="1" si="159"/>
        <v>414.18124272012034</v>
      </c>
      <c r="K332" s="307">
        <f t="shared" ca="1" si="160"/>
        <v>1332.5388098192857</v>
      </c>
      <c r="L332" s="304">
        <f t="shared" ca="1" si="145"/>
        <v>1395.4231549948502</v>
      </c>
      <c r="M332" s="306">
        <f t="shared" ca="1" si="161"/>
        <v>0.34593630182793772</v>
      </c>
      <c r="N332" s="304">
        <f t="shared" ca="1" si="162"/>
        <v>19.820690075104618</v>
      </c>
      <c r="P332" s="310">
        <f t="shared" ca="1" si="163"/>
        <v>23</v>
      </c>
      <c r="Q332" s="304">
        <f t="shared" ca="1" si="164"/>
        <v>0</v>
      </c>
      <c r="R332" s="306">
        <f t="shared" ca="1" si="165"/>
        <v>0</v>
      </c>
      <c r="S332" s="307">
        <f t="shared" ca="1" si="166"/>
        <v>8.0499999999999989</v>
      </c>
      <c r="T332" s="304">
        <f t="shared" ca="1" si="146"/>
        <v>78.970499999999987</v>
      </c>
      <c r="U332" s="311">
        <f t="shared" ca="1" si="147"/>
        <v>0</v>
      </c>
      <c r="V332" s="306">
        <f t="shared" ca="1" si="148"/>
        <v>1.071960546367106</v>
      </c>
      <c r="W332" s="304">
        <f t="shared" ca="1" si="149"/>
        <v>2.1180820720135545</v>
      </c>
      <c r="Y332" s="314" t="str">
        <f t="shared" ca="1" si="167"/>
        <v/>
      </c>
      <c r="Z332" s="315" t="str">
        <f t="shared" ca="1" si="168"/>
        <v/>
      </c>
      <c r="AA332" s="316" t="str">
        <f t="shared" ca="1" si="169"/>
        <v/>
      </c>
      <c r="AC332" s="310" t="e">
        <f t="shared" ca="1" si="170"/>
        <v>#N/A</v>
      </c>
      <c r="AD332" s="323" t="e">
        <f t="shared" ca="1" si="171"/>
        <v>#N/A</v>
      </c>
      <c r="AE332" s="324">
        <f t="shared" ca="1" si="150"/>
        <v>1332.5388098192857</v>
      </c>
      <c r="AG332" s="306">
        <f t="shared" ca="1" si="172"/>
        <v>-3.9283794593825765</v>
      </c>
      <c r="AH332" s="304">
        <f t="shared" ca="1" si="173"/>
        <v>-0.2710539106346897</v>
      </c>
    </row>
    <row r="333" spans="1:34" x14ac:dyDescent="0.3">
      <c r="A333" s="347">
        <f t="shared" ca="1" si="151"/>
        <v>0.1</v>
      </c>
      <c r="B333" s="304">
        <f t="shared" ca="1" si="152"/>
        <v>14.899999999999965</v>
      </c>
      <c r="D333" s="306">
        <f t="shared" ca="1" si="153"/>
        <v>-0.24752838154636198</v>
      </c>
      <c r="E333" s="307">
        <f t="shared" ca="1" si="154"/>
        <v>-9.8992166846831893</v>
      </c>
      <c r="F333" s="304">
        <f t="shared" ca="1" si="155"/>
        <v>9.9023109055402312</v>
      </c>
      <c r="G333" s="306">
        <f t="shared" ca="1" si="156"/>
        <v>23.698210979661027</v>
      </c>
      <c r="H333" s="307">
        <f t="shared" ca="1" si="157"/>
        <v>7.5605490673019728</v>
      </c>
      <c r="I333" s="304">
        <f t="shared" ca="1" si="158"/>
        <v>24.875029765522033</v>
      </c>
      <c r="J333" s="306">
        <f t="shared" ca="1" si="159"/>
        <v>416.55230145999417</v>
      </c>
      <c r="K333" s="307">
        <f t="shared" ca="1" si="160"/>
        <v>1333.3443608094392</v>
      </c>
      <c r="L333" s="304">
        <f t="shared" ca="1" si="145"/>
        <v>1396.8976356032499</v>
      </c>
      <c r="M333" s="306">
        <f t="shared" ca="1" si="161"/>
        <v>0.30882696619817096</v>
      </c>
      <c r="N333" s="304">
        <f t="shared" ca="1" si="162"/>
        <v>17.69448176298453</v>
      </c>
      <c r="P333" s="310">
        <f t="shared" ca="1" si="163"/>
        <v>23</v>
      </c>
      <c r="Q333" s="304">
        <f t="shared" ca="1" si="164"/>
        <v>0</v>
      </c>
      <c r="R333" s="306">
        <f t="shared" ca="1" si="165"/>
        <v>0</v>
      </c>
      <c r="S333" s="307">
        <f t="shared" ca="1" si="166"/>
        <v>8.0499999999999989</v>
      </c>
      <c r="T333" s="304">
        <f t="shared" ca="1" si="146"/>
        <v>78.970499999999987</v>
      </c>
      <c r="U333" s="311">
        <f t="shared" ca="1" si="147"/>
        <v>0</v>
      </c>
      <c r="V333" s="306">
        <f t="shared" ca="1" si="148"/>
        <v>1.0718738127161993</v>
      </c>
      <c r="W333" s="304">
        <f t="shared" ca="1" si="149"/>
        <v>2.0608821869325418</v>
      </c>
      <c r="Y333" s="314" t="str">
        <f t="shared" ca="1" si="167"/>
        <v/>
      </c>
      <c r="Z333" s="315" t="str">
        <f t="shared" ca="1" si="168"/>
        <v/>
      </c>
      <c r="AA333" s="316" t="str">
        <f t="shared" ca="1" si="169"/>
        <v/>
      </c>
      <c r="AC333" s="310" t="e">
        <f t="shared" ca="1" si="170"/>
        <v>#N/A</v>
      </c>
      <c r="AD333" s="323" t="e">
        <f t="shared" ca="1" si="171"/>
        <v>#N/A</v>
      </c>
      <c r="AE333" s="324">
        <f t="shared" ca="1" si="150"/>
        <v>1333.3443608094392</v>
      </c>
      <c r="AG333" s="306">
        <f t="shared" ca="1" si="172"/>
        <v>-3.5894676254662601</v>
      </c>
      <c r="AH333" s="304">
        <f t="shared" ca="1" si="173"/>
        <v>-0.26311578534329871</v>
      </c>
    </row>
    <row r="334" spans="1:34" x14ac:dyDescent="0.3">
      <c r="A334" s="347">
        <f t="shared" ca="1" si="151"/>
        <v>0.1</v>
      </c>
      <c r="B334" s="304">
        <f t="shared" ca="1" si="152"/>
        <v>14.999999999999964</v>
      </c>
      <c r="D334" s="306">
        <f t="shared" ca="1" si="153"/>
        <v>-0.24389856077415809</v>
      </c>
      <c r="E334" s="307">
        <f t="shared" ca="1" si="154"/>
        <v>-9.8878120777876433</v>
      </c>
      <c r="F334" s="304">
        <f t="shared" ca="1" si="155"/>
        <v>9.890819692704488</v>
      </c>
      <c r="G334" s="306">
        <f t="shared" ca="1" si="156"/>
        <v>23.673821123583611</v>
      </c>
      <c r="H334" s="307">
        <f t="shared" ca="1" si="157"/>
        <v>6.5717678595232085</v>
      </c>
      <c r="I334" s="304">
        <f t="shared" ca="1" si="158"/>
        <v>24.569044332063381</v>
      </c>
      <c r="J334" s="306">
        <f t="shared" ca="1" si="159"/>
        <v>418.92090306515638</v>
      </c>
      <c r="K334" s="307">
        <f t="shared" ca="1" si="160"/>
        <v>1334.0509766557805</v>
      </c>
      <c r="L334" s="304">
        <f t="shared" ca="1" si="145"/>
        <v>1398.2799188078072</v>
      </c>
      <c r="M334" s="306">
        <f t="shared" ca="1" si="161"/>
        <v>0.27077847075151495</v>
      </c>
      <c r="N334" s="304">
        <f t="shared" ca="1" si="162"/>
        <v>15.514463557068412</v>
      </c>
      <c r="P334" s="310">
        <f t="shared" ca="1" si="163"/>
        <v>23</v>
      </c>
      <c r="Q334" s="304">
        <f t="shared" ca="1" si="164"/>
        <v>0</v>
      </c>
      <c r="R334" s="306">
        <f t="shared" ca="1" si="165"/>
        <v>0</v>
      </c>
      <c r="S334" s="307">
        <f t="shared" ca="1" si="166"/>
        <v>8.0499999999999989</v>
      </c>
      <c r="T334" s="304">
        <f t="shared" ca="1" si="146"/>
        <v>78.970499999999987</v>
      </c>
      <c r="U334" s="311">
        <f t="shared" ca="1" si="147"/>
        <v>0</v>
      </c>
      <c r="V334" s="306">
        <f t="shared" ca="1" si="148"/>
        <v>1.07179773680193</v>
      </c>
      <c r="W334" s="304">
        <f t="shared" ca="1" si="149"/>
        <v>2.0103498885200883</v>
      </c>
      <c r="Y334" s="314" t="str">
        <f t="shared" ca="1" si="167"/>
        <v/>
      </c>
      <c r="Z334" s="315" t="str">
        <f t="shared" ca="1" si="168"/>
        <v/>
      </c>
      <c r="AA334" s="316" t="str">
        <f t="shared" ca="1" si="169"/>
        <v/>
      </c>
      <c r="AC334" s="310">
        <f t="shared" ca="1" si="170"/>
        <v>14.999999999999964</v>
      </c>
      <c r="AD334" s="323">
        <f t="shared" ca="1" si="171"/>
        <v>418.92090306515638</v>
      </c>
      <c r="AE334" s="324">
        <f t="shared" ca="1" si="150"/>
        <v>1334.0509766557805</v>
      </c>
      <c r="AG334" s="306">
        <f t="shared" ca="1" si="172"/>
        <v>-3.2376744346599593</v>
      </c>
      <c r="AH334" s="304">
        <f t="shared" ca="1" si="173"/>
        <v>-0.25601020955683751</v>
      </c>
    </row>
    <row r="335" spans="1:34" x14ac:dyDescent="0.3">
      <c r="A335" s="347">
        <f t="shared" ca="1" si="151"/>
        <v>0.1</v>
      </c>
      <c r="B335" s="304">
        <f t="shared" ca="1" si="152"/>
        <v>15.099999999999964</v>
      </c>
      <c r="D335" s="306">
        <f t="shared" ca="1" si="153"/>
        <v>-0.24063337797572415</v>
      </c>
      <c r="E335" s="307">
        <f t="shared" ca="1" si="154"/>
        <v>-9.8767989629157924</v>
      </c>
      <c r="F335" s="304">
        <f t="shared" ca="1" si="155"/>
        <v>9.8797298635362729</v>
      </c>
      <c r="G335" s="306">
        <f t="shared" ca="1" si="156"/>
        <v>23.64975778578604</v>
      </c>
      <c r="H335" s="307">
        <f t="shared" ca="1" si="157"/>
        <v>5.5840879632316289</v>
      </c>
      <c r="I335" s="304">
        <f t="shared" ca="1" si="158"/>
        <v>24.300063409535699</v>
      </c>
      <c r="J335" s="306">
        <f t="shared" ca="1" si="159"/>
        <v>421.28708201062489</v>
      </c>
      <c r="K335" s="307">
        <f t="shared" ca="1" si="160"/>
        <v>1334.6587694469183</v>
      </c>
      <c r="L335" s="304">
        <f t="shared" ca="1" si="145"/>
        <v>1399.5702327252425</v>
      </c>
      <c r="M335" s="306">
        <f t="shared" ca="1" si="161"/>
        <v>0.231869361821542</v>
      </c>
      <c r="N335" s="304">
        <f t="shared" ca="1" si="162"/>
        <v>13.285135830766178</v>
      </c>
      <c r="P335" s="310">
        <f t="shared" ca="1" si="163"/>
        <v>23</v>
      </c>
      <c r="Q335" s="304">
        <f t="shared" ca="1" si="164"/>
        <v>0</v>
      </c>
      <c r="R335" s="306">
        <f t="shared" ca="1" si="165"/>
        <v>0</v>
      </c>
      <c r="S335" s="307">
        <f t="shared" ca="1" si="166"/>
        <v>8.0499999999999989</v>
      </c>
      <c r="T335" s="304">
        <f t="shared" ca="1" si="146"/>
        <v>78.970499999999987</v>
      </c>
      <c r="U335" s="311">
        <f t="shared" ca="1" si="147"/>
        <v>0</v>
      </c>
      <c r="V335" s="306">
        <f t="shared" ca="1" si="148"/>
        <v>1.0717323044403337</v>
      </c>
      <c r="W335" s="304">
        <f t="shared" ca="1" si="149"/>
        <v>1.9664523254644997</v>
      </c>
      <c r="Y335" s="314" t="str">
        <f t="shared" ca="1" si="167"/>
        <v/>
      </c>
      <c r="Z335" s="315" t="str">
        <f t="shared" ca="1" si="168"/>
        <v/>
      </c>
      <c r="AA335" s="316" t="str">
        <f t="shared" ca="1" si="169"/>
        <v/>
      </c>
      <c r="AC335" s="310" t="e">
        <f t="shared" ca="1" si="170"/>
        <v>#N/A</v>
      </c>
      <c r="AD335" s="323" t="e">
        <f t="shared" ca="1" si="171"/>
        <v>#N/A</v>
      </c>
      <c r="AE335" s="324">
        <f t="shared" ca="1" si="150"/>
        <v>1334.6587694469183</v>
      </c>
      <c r="AG335" s="306">
        <f t="shared" ca="1" si="172"/>
        <v>-2.8737276294414804</v>
      </c>
      <c r="AH335" s="304">
        <f t="shared" ca="1" si="173"/>
        <v>-0.2497329054062222</v>
      </c>
    </row>
    <row r="336" spans="1:34" x14ac:dyDescent="0.3">
      <c r="A336" s="347">
        <f t="shared" ca="1" si="151"/>
        <v>0.1</v>
      </c>
      <c r="B336" s="304">
        <f t="shared" ca="1" si="152"/>
        <v>15.199999999999964</v>
      </c>
      <c r="D336" s="306">
        <f t="shared" ca="1" si="153"/>
        <v>-0.23774250358939694</v>
      </c>
      <c r="E336" s="307">
        <f t="shared" ca="1" si="154"/>
        <v>-9.8661348266086684</v>
      </c>
      <c r="F336" s="304">
        <f t="shared" ca="1" si="155"/>
        <v>9.8689988304201055</v>
      </c>
      <c r="G336" s="306">
        <f t="shared" ca="1" si="156"/>
        <v>23.6259835354271</v>
      </c>
      <c r="H336" s="307">
        <f t="shared" ca="1" si="157"/>
        <v>4.5974744805707619</v>
      </c>
      <c r="I336" s="304">
        <f t="shared" ca="1" si="158"/>
        <v>24.06914767115304</v>
      </c>
      <c r="J336" s="306">
        <f t="shared" ca="1" si="159"/>
        <v>423.65086907668552</v>
      </c>
      <c r="K336" s="307">
        <f t="shared" ca="1" si="160"/>
        <v>1335.1678475691085</v>
      </c>
      <c r="L336" s="304">
        <f t="shared" ca="1" si="145"/>
        <v>1400.7688032119208</v>
      </c>
      <c r="M336" s="306">
        <f t="shared" ca="1" si="161"/>
        <v>0.19219211375941384</v>
      </c>
      <c r="N336" s="304">
        <f t="shared" ca="1" si="162"/>
        <v>11.01179697411261</v>
      </c>
      <c r="P336" s="310">
        <f t="shared" ca="1" si="163"/>
        <v>23</v>
      </c>
      <c r="Q336" s="304">
        <f t="shared" ca="1" si="164"/>
        <v>0</v>
      </c>
      <c r="R336" s="306">
        <f t="shared" ca="1" si="165"/>
        <v>0</v>
      </c>
      <c r="S336" s="307">
        <f t="shared" ca="1" si="166"/>
        <v>8.0499999999999989</v>
      </c>
      <c r="T336" s="304">
        <f t="shared" ca="1" si="146"/>
        <v>78.970499999999987</v>
      </c>
      <c r="U336" s="311">
        <f t="shared" ca="1" si="147"/>
        <v>0</v>
      </c>
      <c r="V336" s="306">
        <f t="shared" ca="1" si="148"/>
        <v>1.0716775021450313</v>
      </c>
      <c r="W336" s="304">
        <f t="shared" ca="1" si="149"/>
        <v>1.9291581104497995</v>
      </c>
      <c r="Y336" s="314" t="str">
        <f t="shared" ca="1" si="167"/>
        <v/>
      </c>
      <c r="Z336" s="315" t="str">
        <f t="shared" ca="1" si="168"/>
        <v/>
      </c>
      <c r="AA336" s="316" t="str">
        <f t="shared" ca="1" si="169"/>
        <v/>
      </c>
      <c r="AC336" s="310" t="e">
        <f t="shared" ca="1" si="170"/>
        <v>#N/A</v>
      </c>
      <c r="AD336" s="323" t="e">
        <f t="shared" ca="1" si="171"/>
        <v>#N/A</v>
      </c>
      <c r="AE336" s="324">
        <f t="shared" ca="1" si="150"/>
        <v>1335.1678475691085</v>
      </c>
      <c r="AG336" s="306">
        <f t="shared" ca="1" si="172"/>
        <v>-2.4985909020441337</v>
      </c>
      <c r="AH336" s="304">
        <f t="shared" ca="1" si="173"/>
        <v>-0.24427979198316768</v>
      </c>
    </row>
    <row r="337" spans="1:34" x14ac:dyDescent="0.3">
      <c r="A337" s="347">
        <f t="shared" ca="1" si="151"/>
        <v>0.1</v>
      </c>
      <c r="B337" s="304">
        <f t="shared" ca="1" si="152"/>
        <v>15.299999999999963</v>
      </c>
      <c r="D337" s="306">
        <f t="shared" ca="1" si="153"/>
        <v>-0.23523456046776725</v>
      </c>
      <c r="E337" s="307">
        <f t="shared" ca="1" si="154"/>
        <v>-9.8557752324713661</v>
      </c>
      <c r="F337" s="304">
        <f t="shared" ca="1" si="155"/>
        <v>9.8585820852409842</v>
      </c>
      <c r="G337" s="306">
        <f t="shared" ca="1" si="156"/>
        <v>23.602460079380322</v>
      </c>
      <c r="H337" s="307">
        <f t="shared" ca="1" si="157"/>
        <v>3.6118969573236255</v>
      </c>
      <c r="I337" s="304">
        <f t="shared" ca="1" si="158"/>
        <v>23.877225999455327</v>
      </c>
      <c r="J337" s="306">
        <f t="shared" ca="1" si="159"/>
        <v>426.01229125742589</v>
      </c>
      <c r="K337" s="307">
        <f t="shared" ca="1" si="160"/>
        <v>1335.5783161410031</v>
      </c>
      <c r="L337" s="304">
        <f t="shared" ca="1" si="145"/>
        <v>1401.8758542925402</v>
      </c>
      <c r="M337" s="306">
        <f t="shared" ca="1" si="161"/>
        <v>0.15185246465147598</v>
      </c>
      <c r="N337" s="304">
        <f t="shared" ca="1" si="162"/>
        <v>8.7005053331890956</v>
      </c>
      <c r="P337" s="310">
        <f t="shared" ca="1" si="163"/>
        <v>23</v>
      </c>
      <c r="Q337" s="304">
        <f t="shared" ca="1" si="164"/>
        <v>0</v>
      </c>
      <c r="R337" s="306">
        <f t="shared" ca="1" si="165"/>
        <v>0</v>
      </c>
      <c r="S337" s="307">
        <f t="shared" ca="1" si="166"/>
        <v>8.0499999999999989</v>
      </c>
      <c r="T337" s="304">
        <f t="shared" ca="1" si="146"/>
        <v>78.970499999999987</v>
      </c>
      <c r="U337" s="311">
        <f t="shared" ca="1" si="147"/>
        <v>0</v>
      </c>
      <c r="V337" s="306">
        <f t="shared" ca="1" si="148"/>
        <v>1.0716333170791079</v>
      </c>
      <c r="W337" s="304">
        <f t="shared" ca="1" si="149"/>
        <v>1.8984371946680179</v>
      </c>
      <c r="Y337" s="314" t="str">
        <f t="shared" ca="1" si="167"/>
        <v/>
      </c>
      <c r="Z337" s="315" t="str">
        <f t="shared" ca="1" si="168"/>
        <v/>
      </c>
      <c r="AA337" s="316" t="str">
        <f t="shared" ca="1" si="169"/>
        <v/>
      </c>
      <c r="AC337" s="310" t="e">
        <f t="shared" ca="1" si="170"/>
        <v>#N/A</v>
      </c>
      <c r="AD337" s="323" t="e">
        <f t="shared" ca="1" si="171"/>
        <v>#N/A</v>
      </c>
      <c r="AE337" s="324">
        <f t="shared" ca="1" si="150"/>
        <v>1335.5783161410031</v>
      </c>
      <c r="AG337" s="306">
        <f t="shared" ca="1" si="172"/>
        <v>-2.1134659051957385</v>
      </c>
      <c r="AH337" s="304">
        <f t="shared" ca="1" si="173"/>
        <v>-0.23964697024221115</v>
      </c>
    </row>
    <row r="338" spans="1:34" x14ac:dyDescent="0.3">
      <c r="A338" s="347">
        <f t="shared" ca="1" si="151"/>
        <v>0.1</v>
      </c>
      <c r="B338" s="304">
        <f t="shared" ca="1" si="152"/>
        <v>15.399999999999963</v>
      </c>
      <c r="D338" s="306">
        <f t="shared" ca="1" si="153"/>
        <v>-0.2331168979727746</v>
      </c>
      <c r="E338" s="307">
        <f t="shared" ca="1" si="154"/>
        <v>-9.8456740022716609</v>
      </c>
      <c r="F338" s="304">
        <f t="shared" ca="1" si="155"/>
        <v>9.848433380346771</v>
      </c>
      <c r="G338" s="306">
        <f t="shared" ca="1" si="156"/>
        <v>23.579148389583043</v>
      </c>
      <c r="H338" s="307">
        <f t="shared" ca="1" si="157"/>
        <v>2.6273295570964592</v>
      </c>
      <c r="I338" s="304">
        <f t="shared" ca="1" si="158"/>
        <v>23.725073221795739</v>
      </c>
      <c r="J338" s="306">
        <f t="shared" ca="1" si="159"/>
        <v>428.37137168087406</v>
      </c>
      <c r="K338" s="307">
        <f t="shared" ca="1" si="160"/>
        <v>1335.8902774667242</v>
      </c>
      <c r="L338" s="304">
        <f t="shared" ca="1" si="145"/>
        <v>1402.8916086091167</v>
      </c>
      <c r="M338" s="306">
        <f t="shared" ca="1" si="161"/>
        <v>0.11096823274669346</v>
      </c>
      <c r="N338" s="304">
        <f t="shared" ca="1" si="162"/>
        <v>6.3580113964109497</v>
      </c>
      <c r="P338" s="310">
        <f t="shared" ca="1" si="163"/>
        <v>23</v>
      </c>
      <c r="Q338" s="304">
        <f t="shared" ca="1" si="164"/>
        <v>0</v>
      </c>
      <c r="R338" s="306">
        <f t="shared" ca="1" si="165"/>
        <v>0</v>
      </c>
      <c r="S338" s="307">
        <f t="shared" ca="1" si="166"/>
        <v>8.0499999999999989</v>
      </c>
      <c r="T338" s="304">
        <f t="shared" ca="1" si="146"/>
        <v>78.970499999999987</v>
      </c>
      <c r="U338" s="311">
        <f t="shared" ca="1" si="147"/>
        <v>0</v>
      </c>
      <c r="V338" s="306">
        <f t="shared" ca="1" si="148"/>
        <v>1.0715997370051118</v>
      </c>
      <c r="W338" s="304">
        <f t="shared" ca="1" si="149"/>
        <v>1.874260738747245</v>
      </c>
      <c r="Y338" s="314" t="str">
        <f t="shared" ca="1" si="167"/>
        <v/>
      </c>
      <c r="Z338" s="315" t="str">
        <f t="shared" ca="1" si="168"/>
        <v/>
      </c>
      <c r="AA338" s="316" t="str">
        <f t="shared" ca="1" si="169"/>
        <v/>
      </c>
      <c r="AC338" s="310" t="e">
        <f t="shared" ca="1" si="170"/>
        <v>#N/A</v>
      </c>
      <c r="AD338" s="323" t="e">
        <f t="shared" ca="1" si="171"/>
        <v>#N/A</v>
      </c>
      <c r="AE338" s="324">
        <f t="shared" ca="1" si="150"/>
        <v>1335.8902774667242</v>
      </c>
      <c r="AG338" s="306">
        <f t="shared" ca="1" si="172"/>
        <v>-1.7197848799845277</v>
      </c>
      <c r="AH338" s="304">
        <f t="shared" ca="1" si="173"/>
        <v>-0.23583070741217615</v>
      </c>
    </row>
    <row r="339" spans="1:34" x14ac:dyDescent="0.3">
      <c r="A339" s="347">
        <f t="shared" ca="1" si="151"/>
        <v>0.1</v>
      </c>
      <c r="B339" s="304">
        <f t="shared" ca="1" si="152"/>
        <v>15.499999999999963</v>
      </c>
      <c r="D339" s="306">
        <f t="shared" ca="1" si="153"/>
        <v>-0.2313953789189023</v>
      </c>
      <c r="E339" s="307">
        <f t="shared" ca="1" si="154"/>
        <v>-9.8357834552955179</v>
      </c>
      <c r="F339" s="304">
        <f t="shared" ca="1" si="155"/>
        <v>9.838504967770767</v>
      </c>
      <c r="G339" s="306">
        <f t="shared" ca="1" si="156"/>
        <v>23.556008851691153</v>
      </c>
      <c r="H339" s="307">
        <f t="shared" ca="1" si="157"/>
        <v>1.6437512115669075</v>
      </c>
      <c r="I339" s="304">
        <f t="shared" ca="1" si="158"/>
        <v>23.613290136414275</v>
      </c>
      <c r="J339" s="306">
        <f t="shared" ca="1" si="159"/>
        <v>430.72812954293778</v>
      </c>
      <c r="K339" s="307">
        <f t="shared" ca="1" si="160"/>
        <v>1336.1038315051574</v>
      </c>
      <c r="L339" s="304">
        <f t="shared" ca="1" si="145"/>
        <v>1403.816287888953</v>
      </c>
      <c r="M339" s="306">
        <f t="shared" ca="1" si="161"/>
        <v>6.9667616590975992E-2</v>
      </c>
      <c r="N339" s="304">
        <f t="shared" ca="1" si="162"/>
        <v>3.9916603993985165</v>
      </c>
      <c r="P339" s="310">
        <f t="shared" ca="1" si="163"/>
        <v>23</v>
      </c>
      <c r="Q339" s="304">
        <f t="shared" ca="1" si="164"/>
        <v>0</v>
      </c>
      <c r="R339" s="306">
        <f t="shared" ca="1" si="165"/>
        <v>0</v>
      </c>
      <c r="S339" s="307">
        <f t="shared" ca="1" si="166"/>
        <v>8.0499999999999989</v>
      </c>
      <c r="T339" s="304">
        <f t="shared" ca="1" si="146"/>
        <v>78.970499999999987</v>
      </c>
      <c r="U339" s="311">
        <f t="shared" ca="1" si="147"/>
        <v>0</v>
      </c>
      <c r="V339" s="306">
        <f t="shared" ca="1" si="148"/>
        <v>1.0715767502333764</v>
      </c>
      <c r="W339" s="304">
        <f t="shared" ca="1" si="149"/>
        <v>1.8566009806122472</v>
      </c>
      <c r="Y339" s="314" t="str">
        <f t="shared" ca="1" si="167"/>
        <v/>
      </c>
      <c r="Z339" s="315" t="str">
        <f t="shared" ca="1" si="168"/>
        <v/>
      </c>
      <c r="AA339" s="316" t="str">
        <f t="shared" ca="1" si="169"/>
        <v/>
      </c>
      <c r="AC339" s="310" t="e">
        <f t="shared" ca="1" si="170"/>
        <v>#N/A</v>
      </c>
      <c r="AD339" s="323" t="e">
        <f t="shared" ca="1" si="171"/>
        <v>#N/A</v>
      </c>
      <c r="AE339" s="324">
        <f t="shared" ca="1" si="150"/>
        <v>1336.1038315051574</v>
      </c>
      <c r="AG339" s="306">
        <f t="shared" ca="1" si="172"/>
        <v>-1.3191930019730373</v>
      </c>
      <c r="AH339" s="304">
        <f t="shared" ca="1" si="173"/>
        <v>-0.2328274209623907</v>
      </c>
    </row>
    <row r="340" spans="1:34" x14ac:dyDescent="0.3">
      <c r="A340" s="347">
        <f t="shared" ca="1" si="151"/>
        <v>0.1</v>
      </c>
      <c r="B340" s="304">
        <f t="shared" ca="1" si="152"/>
        <v>15.599999999999962</v>
      </c>
      <c r="D340" s="306">
        <f t="shared" ca="1" si="153"/>
        <v>-0.23007418943356472</v>
      </c>
      <c r="E340" s="307">
        <f t="shared" ca="1" si="154"/>
        <v>-9.8260547030701488</v>
      </c>
      <c r="F340" s="304">
        <f t="shared" ca="1" si="155"/>
        <v>9.8287478938250583</v>
      </c>
      <c r="G340" s="306">
        <f t="shared" ca="1" si="156"/>
        <v>23.533001432747795</v>
      </c>
      <c r="H340" s="307">
        <f t="shared" ca="1" si="157"/>
        <v>0.66114574125989256</v>
      </c>
      <c r="I340" s="304">
        <f t="shared" ca="1" si="158"/>
        <v>23.542286849940808</v>
      </c>
      <c r="J340" s="306">
        <f t="shared" ca="1" si="159"/>
        <v>433.0825800571597</v>
      </c>
      <c r="K340" s="307">
        <f t="shared" ca="1" si="160"/>
        <v>1336.2190763527988</v>
      </c>
      <c r="L340" s="304">
        <f t="shared" ca="1" si="145"/>
        <v>1404.6501134297084</v>
      </c>
      <c r="M340" s="306">
        <f t="shared" ca="1" si="161"/>
        <v>2.8087019795181311E-2</v>
      </c>
      <c r="N340" s="304">
        <f t="shared" ca="1" si="162"/>
        <v>1.6092676933642871</v>
      </c>
      <c r="P340" s="310">
        <f t="shared" ca="1" si="163"/>
        <v>23</v>
      </c>
      <c r="Q340" s="304">
        <f t="shared" ca="1" si="164"/>
        <v>0</v>
      </c>
      <c r="R340" s="306">
        <f t="shared" ca="1" si="165"/>
        <v>0</v>
      </c>
      <c r="S340" s="307">
        <f t="shared" ca="1" si="166"/>
        <v>8.0499999999999989</v>
      </c>
      <c r="T340" s="304">
        <f t="shared" ca="1" si="146"/>
        <v>78.970499999999987</v>
      </c>
      <c r="U340" s="311">
        <f t="shared" ca="1" si="147"/>
        <v>0</v>
      </c>
      <c r="V340" s="306">
        <f t="shared" ca="1" si="148"/>
        <v>1.0715643455689543</v>
      </c>
      <c r="W340" s="304">
        <f t="shared" ca="1" si="149"/>
        <v>1.8454311009422502</v>
      </c>
      <c r="Y340" s="314" t="str">
        <f t="shared" ca="1" si="167"/>
        <v>Apogée</v>
      </c>
      <c r="Z340" s="315" t="str">
        <f t="shared" ca="1" si="168"/>
        <v/>
      </c>
      <c r="AA340" s="316" t="str">
        <f t="shared" ca="1" si="169"/>
        <v/>
      </c>
      <c r="AC340" s="310" t="e">
        <f t="shared" ca="1" si="170"/>
        <v>#N/A</v>
      </c>
      <c r="AD340" s="323" t="e">
        <f t="shared" ca="1" si="171"/>
        <v>#N/A</v>
      </c>
      <c r="AE340" s="324">
        <f t="shared" ca="1" si="150"/>
        <v>1336.2190763527988</v>
      </c>
      <c r="AG340" s="306">
        <f t="shared" ca="1" si="172"/>
        <v>-0.91352026089205618</v>
      </c>
      <c r="AH340" s="304">
        <f t="shared" ca="1" si="173"/>
        <v>-0.23063366218785683</v>
      </c>
    </row>
    <row r="341" spans="1:34" x14ac:dyDescent="0.3">
      <c r="A341" s="347">
        <f t="shared" ca="1" si="151"/>
        <v>0.1</v>
      </c>
      <c r="B341" s="304">
        <f t="shared" ca="1" si="152"/>
        <v>15.699999999999962</v>
      </c>
      <c r="D341" s="306">
        <f t="shared" ca="1" si="153"/>
        <v>-0.22915568153070776</v>
      </c>
      <c r="E341" s="307">
        <f t="shared" ca="1" si="154"/>
        <v>-9.8164379931885239</v>
      </c>
      <c r="F341" s="304">
        <f t="shared" ca="1" si="155"/>
        <v>9.8191123427982507</v>
      </c>
      <c r="G341" s="306">
        <f t="shared" ca="1" si="156"/>
        <v>23.510085864594725</v>
      </c>
      <c r="H341" s="307">
        <f t="shared" ca="1" si="157"/>
        <v>-0.32049805805895992</v>
      </c>
      <c r="I341" s="304">
        <f t="shared" ca="1" si="158"/>
        <v>23.512270336269875</v>
      </c>
      <c r="J341" s="306">
        <f t="shared" ca="1" si="159"/>
        <v>435.43473442202685</v>
      </c>
      <c r="K341" s="307">
        <f t="shared" ca="1" si="160"/>
        <v>1336.2361087369588</v>
      </c>
      <c r="L341" s="304">
        <f t="shared" ca="1" si="145"/>
        <v>1405.3933065991423</v>
      </c>
      <c r="M341" s="306">
        <f t="shared" ca="1" si="161"/>
        <v>-1.3631520028749608E-2</v>
      </c>
      <c r="N341" s="304">
        <f t="shared" ca="1" si="162"/>
        <v>-0.78102856599540316</v>
      </c>
      <c r="P341" s="310">
        <f t="shared" ca="1" si="163"/>
        <v>23</v>
      </c>
      <c r="Q341" s="304">
        <f t="shared" ca="1" si="164"/>
        <v>0</v>
      </c>
      <c r="R341" s="306">
        <f t="shared" ca="1" si="165"/>
        <v>0</v>
      </c>
      <c r="S341" s="307">
        <f t="shared" ca="1" si="166"/>
        <v>8.0499999999999989</v>
      </c>
      <c r="T341" s="304">
        <f t="shared" ca="1" si="146"/>
        <v>78.970499999999987</v>
      </c>
      <c r="U341" s="311">
        <f t="shared" ca="1" si="147"/>
        <v>0</v>
      </c>
      <c r="V341" s="306">
        <f t="shared" ca="1" si="148"/>
        <v>1.0715625122574939</v>
      </c>
      <c r="W341" s="304">
        <f t="shared" ca="1" si="149"/>
        <v>1.8407250870252814</v>
      </c>
      <c r="Y341" s="314" t="str">
        <f t="shared" ca="1" si="167"/>
        <v/>
      </c>
      <c r="Z341" s="315" t="str">
        <f t="shared" ca="1" si="168"/>
        <v/>
      </c>
      <c r="AA341" s="316" t="str">
        <f t="shared" ca="1" si="169"/>
        <v/>
      </c>
      <c r="AC341" s="310" t="e">
        <f t="shared" ca="1" si="170"/>
        <v>#N/A</v>
      </c>
      <c r="AD341" s="323" t="e">
        <f t="shared" ca="1" si="171"/>
        <v>#N/A</v>
      </c>
      <c r="AE341" s="324">
        <f t="shared" ca="1" si="150"/>
        <v>1336.2361087369588</v>
      </c>
      <c r="AG341" s="306">
        <f t="shared" ca="1" si="172"/>
        <v>-0.50474353791814064</v>
      </c>
      <c r="AH341" s="304">
        <f t="shared" ca="1" si="173"/>
        <v>-0.22924609949593172</v>
      </c>
    </row>
    <row r="342" spans="1:34" x14ac:dyDescent="0.3">
      <c r="A342" s="347">
        <f t="shared" ca="1" si="151"/>
        <v>0.1</v>
      </c>
      <c r="B342" s="304">
        <f t="shared" ca="1" si="152"/>
        <v>15.799999999999962</v>
      </c>
      <c r="D342" s="306">
        <f t="shared" ca="1" si="153"/>
        <v>-0.22864025707267405</v>
      </c>
      <c r="E342" s="307">
        <f t="shared" ca="1" si="154"/>
        <v>-9.8068830926944326</v>
      </c>
      <c r="F342" s="304">
        <f t="shared" ca="1" si="155"/>
        <v>9.809548020216333</v>
      </c>
      <c r="G342" s="306">
        <f t="shared" ca="1" si="156"/>
        <v>23.487221838887457</v>
      </c>
      <c r="H342" s="307">
        <f t="shared" ca="1" si="157"/>
        <v>-1.3011863673284032</v>
      </c>
      <c r="I342" s="304">
        <f t="shared" ca="1" si="158"/>
        <v>23.523236930142779</v>
      </c>
      <c r="J342" s="306">
        <f t="shared" ca="1" si="159"/>
        <v>437.78459980720095</v>
      </c>
      <c r="K342" s="307">
        <f t="shared" ca="1" si="160"/>
        <v>1336.1550245156895</v>
      </c>
      <c r="L342" s="304">
        <f t="shared" ca="1" si="145"/>
        <v>1406.0460893466025</v>
      </c>
      <c r="M342" s="306">
        <f t="shared" ca="1" si="161"/>
        <v>-5.5343184088242126E-2</v>
      </c>
      <c r="N342" s="304">
        <f t="shared" ca="1" si="162"/>
        <v>-3.1709308730718466</v>
      </c>
      <c r="P342" s="310">
        <f t="shared" ca="1" si="163"/>
        <v>23</v>
      </c>
      <c r="Q342" s="304">
        <f t="shared" ca="1" si="164"/>
        <v>0</v>
      </c>
      <c r="R342" s="306">
        <f t="shared" ca="1" si="165"/>
        <v>0</v>
      </c>
      <c r="S342" s="307">
        <f t="shared" ca="1" si="166"/>
        <v>8.0499999999999989</v>
      </c>
      <c r="T342" s="304">
        <f t="shared" ca="1" si="146"/>
        <v>78.970499999999987</v>
      </c>
      <c r="U342" s="311">
        <f t="shared" ca="1" si="147"/>
        <v>0</v>
      </c>
      <c r="V342" s="306">
        <f t="shared" ca="1" si="148"/>
        <v>1.071571239930436</v>
      </c>
      <c r="W342" s="304">
        <f t="shared" ca="1" si="149"/>
        <v>1.8424575959217702</v>
      </c>
      <c r="Y342" s="314" t="str">
        <f t="shared" ca="1" si="167"/>
        <v/>
      </c>
      <c r="Z342" s="315" t="str">
        <f t="shared" ca="1" si="168"/>
        <v/>
      </c>
      <c r="AA342" s="316" t="str">
        <f t="shared" ca="1" si="169"/>
        <v/>
      </c>
      <c r="AC342" s="310" t="e">
        <f t="shared" ca="1" si="170"/>
        <v>#N/A</v>
      </c>
      <c r="AD342" s="323" t="e">
        <f t="shared" ca="1" si="171"/>
        <v>#N/A</v>
      </c>
      <c r="AE342" s="324">
        <f t="shared" ca="1" si="150"/>
        <v>1336.1550245156895</v>
      </c>
      <c r="AG342" s="306">
        <f t="shared" ca="1" si="172"/>
        <v>-9.4940431406076886E-2</v>
      </c>
      <c r="AH342" s="304">
        <f t="shared" ca="1" si="173"/>
        <v>-0.2286615014938238</v>
      </c>
    </row>
    <row r="343" spans="1:34" x14ac:dyDescent="0.3">
      <c r="A343" s="347">
        <f t="shared" ca="1" si="151"/>
        <v>0.1</v>
      </c>
      <c r="B343" s="304">
        <f t="shared" ca="1" si="152"/>
        <v>15.899999999999961</v>
      </c>
      <c r="D343" s="306">
        <f t="shared" ca="1" si="153"/>
        <v>-0.22852629985120218</v>
      </c>
      <c r="E343" s="307">
        <f t="shared" ca="1" si="154"/>
        <v>-9.7973396986675514</v>
      </c>
      <c r="F343" s="304">
        <f t="shared" ca="1" si="155"/>
        <v>9.800004563305615</v>
      </c>
      <c r="G343" s="306">
        <f t="shared" ca="1" si="156"/>
        <v>23.464369208902337</v>
      </c>
      <c r="H343" s="307">
        <f t="shared" ca="1" si="157"/>
        <v>-2.2809203371951585</v>
      </c>
      <c r="I343" s="304">
        <f t="shared" ca="1" si="158"/>
        <v>23.574970200539269</v>
      </c>
      <c r="J343" s="306">
        <f t="shared" ca="1" si="159"/>
        <v>440.13217935959045</v>
      </c>
      <c r="K343" s="307">
        <f t="shared" ca="1" si="160"/>
        <v>1335.9759191804633</v>
      </c>
      <c r="L343" s="304">
        <f t="shared" ca="1" si="145"/>
        <v>1406.6086847229071</v>
      </c>
      <c r="M343" s="306">
        <f t="shared" ca="1" si="161"/>
        <v>-9.690336711086335E-2</v>
      </c>
      <c r="N343" s="304">
        <f t="shared" ca="1" si="162"/>
        <v>-5.5521539560592998</v>
      </c>
      <c r="P343" s="310">
        <f t="shared" ca="1" si="163"/>
        <v>23</v>
      </c>
      <c r="Q343" s="304">
        <f t="shared" ca="1" si="164"/>
        <v>0</v>
      </c>
      <c r="R343" s="306">
        <f t="shared" ca="1" si="165"/>
        <v>0</v>
      </c>
      <c r="S343" s="307">
        <f t="shared" ca="1" si="166"/>
        <v>8.0499999999999989</v>
      </c>
      <c r="T343" s="304">
        <f t="shared" ca="1" si="146"/>
        <v>78.970499999999987</v>
      </c>
      <c r="U343" s="311">
        <f t="shared" ca="1" si="147"/>
        <v>0</v>
      </c>
      <c r="V343" s="306">
        <f t="shared" ca="1" si="148"/>
        <v>1.0715905185499546</v>
      </c>
      <c r="W343" s="304">
        <f t="shared" ca="1" si="149"/>
        <v>1.8506038179340716</v>
      </c>
      <c r="Y343" s="314" t="str">
        <f t="shared" ca="1" si="167"/>
        <v/>
      </c>
      <c r="Z343" s="315" t="str">
        <f t="shared" ca="1" si="168"/>
        <v/>
      </c>
      <c r="AA343" s="316" t="str">
        <f t="shared" ca="1" si="169"/>
        <v/>
      </c>
      <c r="AC343" s="310" t="e">
        <f t="shared" ca="1" si="170"/>
        <v>#N/A</v>
      </c>
      <c r="AD343" s="323" t="e">
        <f t="shared" ca="1" si="171"/>
        <v>#N/A</v>
      </c>
      <c r="AE343" s="324">
        <f t="shared" ca="1" si="150"/>
        <v>1335.9759191804633</v>
      </c>
      <c r="AG343" s="306">
        <f t="shared" ca="1" si="172"/>
        <v>0.31376281135478423</v>
      </c>
      <c r="AH343" s="304">
        <f t="shared" ca="1" si="173"/>
        <v>-0.22887671999028203</v>
      </c>
    </row>
    <row r="344" spans="1:34" x14ac:dyDescent="0.3">
      <c r="A344" s="347">
        <f t="shared" ca="1" si="151"/>
        <v>0.1</v>
      </c>
      <c r="B344" s="304">
        <f t="shared" ca="1" si="152"/>
        <v>15.999999999999961</v>
      </c>
      <c r="D344" s="306">
        <f t="shared" ca="1" si="153"/>
        <v>-0.22881015989242898</v>
      </c>
      <c r="E344" s="307">
        <f t="shared" ca="1" si="154"/>
        <v>-9.7877578616152405</v>
      </c>
      <c r="F344" s="304">
        <f t="shared" ca="1" si="155"/>
        <v>9.7904319642639344</v>
      </c>
      <c r="G344" s="306">
        <f t="shared" ca="1" si="156"/>
        <v>23.441488192913095</v>
      </c>
      <c r="H344" s="307">
        <f t="shared" ca="1" si="157"/>
        <v>-3.2596961233566826</v>
      </c>
      <c r="I344" s="304">
        <f t="shared" ca="1" si="158"/>
        <v>23.66704433416033</v>
      </c>
      <c r="J344" s="306">
        <f t="shared" ca="1" si="159"/>
        <v>442.47747222968121</v>
      </c>
      <c r="K344" s="307">
        <f t="shared" ca="1" si="160"/>
        <v>1335.6988883574356</v>
      </c>
      <c r="L344" s="304">
        <f t="shared" ca="1" si="145"/>
        <v>1407.0813174049529</v>
      </c>
      <c r="M344" s="306">
        <f t="shared" ca="1" si="161"/>
        <v>-0.13817066069884049</v>
      </c>
      <c r="N344" s="304">
        <f t="shared" ca="1" si="162"/>
        <v>-7.9165957105776732</v>
      </c>
      <c r="P344" s="310">
        <f t="shared" ca="1" si="163"/>
        <v>23</v>
      </c>
      <c r="Q344" s="304">
        <f t="shared" ca="1" si="164"/>
        <v>0</v>
      </c>
      <c r="R344" s="306">
        <f t="shared" ca="1" si="165"/>
        <v>0</v>
      </c>
      <c r="S344" s="307">
        <f t="shared" ca="1" si="166"/>
        <v>8.0499999999999989</v>
      </c>
      <c r="T344" s="304">
        <f t="shared" ca="1" si="146"/>
        <v>78.970499999999987</v>
      </c>
      <c r="U344" s="311">
        <f t="shared" ca="1" si="147"/>
        <v>0</v>
      </c>
      <c r="V344" s="306">
        <f t="shared" ca="1" si="148"/>
        <v>1.0716203383540699</v>
      </c>
      <c r="W344" s="304">
        <f t="shared" ca="1" si="149"/>
        <v>1.86513934142708</v>
      </c>
      <c r="Y344" s="314" t="str">
        <f t="shared" ca="1" si="167"/>
        <v/>
      </c>
      <c r="Z344" s="315" t="str">
        <f t="shared" ca="1" si="168"/>
        <v>Para</v>
      </c>
      <c r="AA344" s="316" t="str">
        <f t="shared" ca="1" si="169"/>
        <v/>
      </c>
      <c r="AC344" s="310">
        <f t="shared" ca="1" si="170"/>
        <v>15.999999999999961</v>
      </c>
      <c r="AD344" s="323">
        <f t="shared" ca="1" si="171"/>
        <v>442.47747222968121</v>
      </c>
      <c r="AE344" s="324" t="e">
        <f t="shared" ca="1" si="150"/>
        <v>#N/A</v>
      </c>
      <c r="AG344" s="306">
        <f t="shared" ca="1" si="172"/>
        <v>0.71924629161347564</v>
      </c>
      <c r="AH344" s="304">
        <f t="shared" ca="1" si="173"/>
        <v>-0.22988867303528843</v>
      </c>
    </row>
    <row r="345" spans="1:34" x14ac:dyDescent="0.3">
      <c r="A345" s="347">
        <f t="shared" ca="1" si="151"/>
        <v>0.1</v>
      </c>
      <c r="B345" s="304">
        <f t="shared" ca="1" si="152"/>
        <v>16.099999999999962</v>
      </c>
      <c r="D345" s="306">
        <f t="shared" ca="1" si="153"/>
        <v>-0.22948619102928935</v>
      </c>
      <c r="E345" s="307">
        <f t="shared" ca="1" si="154"/>
        <v>-9.7780884062860736</v>
      </c>
      <c r="F345" s="304">
        <f t="shared" ca="1" si="155"/>
        <v>9.7807809909546197</v>
      </c>
      <c r="G345" s="306">
        <f t="shared" ca="1" si="156"/>
        <v>23.418539573810165</v>
      </c>
      <c r="H345" s="307">
        <f t="shared" ca="1" si="157"/>
        <v>-4.2375049639852902</v>
      </c>
      <c r="I345" s="304">
        <f t="shared" ca="1" si="158"/>
        <v>23.798832830412348</v>
      </c>
      <c r="J345" s="306">
        <f t="shared" ca="1" si="159"/>
        <v>444.82047361801739</v>
      </c>
      <c r="K345" s="307">
        <f t="shared" ca="1" si="160"/>
        <v>1335.3240283030686</v>
      </c>
      <c r="L345" s="304">
        <f t="shared" ca="1" si="145"/>
        <v>1407.4642142211972</v>
      </c>
      <c r="M345" s="306">
        <f t="shared" ca="1" si="161"/>
        <v>-0.17900967319699432</v>
      </c>
      <c r="N345" s="304">
        <f t="shared" ca="1" si="162"/>
        <v>-10.256498766203908</v>
      </c>
      <c r="P345" s="310">
        <f t="shared" ca="1" si="163"/>
        <v>23</v>
      </c>
      <c r="Q345" s="304">
        <f t="shared" ca="1" si="164"/>
        <v>0</v>
      </c>
      <c r="R345" s="306">
        <f t="shared" ca="1" si="165"/>
        <v>0</v>
      </c>
      <c r="S345" s="307">
        <f t="shared" ca="1" si="166"/>
        <v>8.0499999999999989</v>
      </c>
      <c r="T345" s="304">
        <f t="shared" ca="1" si="146"/>
        <v>78.970499999999987</v>
      </c>
      <c r="U345" s="311">
        <f t="shared" ca="1" si="147"/>
        <v>0</v>
      </c>
      <c r="V345" s="306">
        <f t="shared" ca="1" si="148"/>
        <v>1.0716606898023886</v>
      </c>
      <c r="W345" s="304">
        <f t="shared" ca="1" si="149"/>
        <v>1.8860400200546545</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1.1194511093266988</v>
      </c>
      <c r="AH345" s="304">
        <f t="shared" ca="1" si="173"/>
        <v>-0.23169432812758761</v>
      </c>
    </row>
    <row r="346" spans="1:34" x14ac:dyDescent="0.3">
      <c r="A346" s="347">
        <f t="shared" ca="1" si="151"/>
        <v>0.1</v>
      </c>
      <c r="B346" s="304">
        <f t="shared" ca="1" si="152"/>
        <v>16.199999999999964</v>
      </c>
      <c r="D346" s="306">
        <f t="shared" ca="1" si="153"/>
        <v>-0.23054683960478292</v>
      </c>
      <c r="E346" s="307">
        <f t="shared" ca="1" si="154"/>
        <v>-9.7682833346982516</v>
      </c>
      <c r="F346" s="304">
        <f t="shared" ca="1" si="155"/>
        <v>9.7710035898159067</v>
      </c>
      <c r="G346" s="306">
        <f t="shared" ca="1" si="156"/>
        <v>23.395484889849687</v>
      </c>
      <c r="H346" s="307">
        <f t="shared" ca="1" si="157"/>
        <v>-5.2143332974551155</v>
      </c>
      <c r="I346" s="304">
        <f t="shared" ca="1" si="158"/>
        <v>23.969522001244293</v>
      </c>
      <c r="J346" s="306">
        <f t="shared" ca="1" si="159"/>
        <v>447.16117484120036</v>
      </c>
      <c r="K346" s="307">
        <f t="shared" ca="1" si="160"/>
        <v>1334.8514363899967</v>
      </c>
      <c r="L346" s="304">
        <f t="shared" ca="1" si="145"/>
        <v>1407.7576046741144</v>
      </c>
      <c r="M346" s="306">
        <f t="shared" ca="1" si="161"/>
        <v>-0.21929354929282327</v>
      </c>
      <c r="N346" s="304">
        <f t="shared" ca="1" si="162"/>
        <v>-12.564594848922852</v>
      </c>
      <c r="P346" s="310">
        <f t="shared" ca="1" si="163"/>
        <v>23</v>
      </c>
      <c r="Q346" s="304">
        <f t="shared" ca="1" si="164"/>
        <v>0</v>
      </c>
      <c r="R346" s="306">
        <f t="shared" ca="1" si="165"/>
        <v>0</v>
      </c>
      <c r="S346" s="307">
        <f t="shared" ca="1" si="166"/>
        <v>8.0499999999999989</v>
      </c>
      <c r="T346" s="304">
        <f t="shared" ca="1" si="146"/>
        <v>78.970499999999987</v>
      </c>
      <c r="U346" s="311">
        <f t="shared" ca="1" si="147"/>
        <v>0</v>
      </c>
      <c r="V346" s="306">
        <f t="shared" ca="1" si="148"/>
        <v>1.0717115635228975</v>
      </c>
      <c r="W346" s="304">
        <f t="shared" ca="1" si="149"/>
        <v>1.9132818434163192</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1.5124304242139381</v>
      </c>
      <c r="AH346" s="304">
        <f t="shared" ca="1" si="173"/>
        <v>-0.23429068572107514</v>
      </c>
    </row>
    <row r="347" spans="1:34" x14ac:dyDescent="0.3">
      <c r="A347" s="347">
        <f t="shared" ca="1" si="151"/>
        <v>0.1</v>
      </c>
      <c r="B347" s="304">
        <f t="shared" ca="1" si="152"/>
        <v>16.299999999999965</v>
      </c>
      <c r="D347" s="306">
        <f t="shared" ca="1" si="153"/>
        <v>-0.23198277920839303</v>
      </c>
      <c r="E347" s="307">
        <f t="shared" ca="1" si="154"/>
        <v>-9.7582961975031637</v>
      </c>
      <c r="F347" s="304">
        <f t="shared" ca="1" si="155"/>
        <v>9.7610532571057078</v>
      </c>
      <c r="G347" s="306">
        <f t="shared" ca="1" si="156"/>
        <v>23.372286611928846</v>
      </c>
      <c r="H347" s="307">
        <f t="shared" ca="1" si="157"/>
        <v>-6.1901629172054324</v>
      </c>
      <c r="I347" s="304">
        <f t="shared" ca="1" si="158"/>
        <v>24.178128513424973</v>
      </c>
      <c r="J347" s="306">
        <f t="shared" ca="1" si="159"/>
        <v>449.49956341628928</v>
      </c>
      <c r="K347" s="307">
        <f t="shared" ca="1" si="160"/>
        <v>1334.2812115792638</v>
      </c>
      <c r="L347" s="304">
        <f t="shared" ca="1" si="145"/>
        <v>1407.9617214558293</v>
      </c>
      <c r="M347" s="306">
        <f t="shared" ca="1" si="161"/>
        <v>-0.25890607992138653</v>
      </c>
      <c r="N347" s="304">
        <f t="shared" ca="1" si="162"/>
        <v>-14.834225669772232</v>
      </c>
      <c r="P347" s="310">
        <f t="shared" ca="1" si="163"/>
        <v>23</v>
      </c>
      <c r="Q347" s="304">
        <f t="shared" ca="1" si="164"/>
        <v>0</v>
      </c>
      <c r="R347" s="306">
        <f t="shared" ca="1" si="165"/>
        <v>0</v>
      </c>
      <c r="S347" s="307">
        <f t="shared" ca="1" si="166"/>
        <v>8.0499999999999989</v>
      </c>
      <c r="T347" s="304">
        <f t="shared" ca="1" si="146"/>
        <v>78.970499999999987</v>
      </c>
      <c r="U347" s="311">
        <f t="shared" ca="1" si="147"/>
        <v>0</v>
      </c>
      <c r="V347" s="306">
        <f t="shared" ca="1" si="148"/>
        <v>1.0717729502602162</v>
      </c>
      <c r="W347" s="304">
        <f t="shared" ca="1" si="149"/>
        <v>1.946840812101118</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1.8963940616352479</v>
      </c>
      <c r="AH347" s="304">
        <f t="shared" ca="1" si="173"/>
        <v>-0.23767476315730676</v>
      </c>
    </row>
    <row r="348" spans="1:34" x14ac:dyDescent="0.3">
      <c r="A348" s="347">
        <f t="shared" ca="1" si="151"/>
        <v>0.1</v>
      </c>
      <c r="B348" s="304">
        <f t="shared" ca="1" si="152"/>
        <v>16.399999999999967</v>
      </c>
      <c r="D348" s="306">
        <f t="shared" ca="1" si="153"/>
        <v>-0.23378308390768415</v>
      </c>
      <c r="E348" s="307">
        <f t="shared" ca="1" si="154"/>
        <v>-9.7480824221136899</v>
      </c>
      <c r="F348" s="304">
        <f t="shared" ca="1" si="155"/>
        <v>9.7508853669112163</v>
      </c>
      <c r="G348" s="306">
        <f t="shared" ca="1" si="156"/>
        <v>23.348908303538078</v>
      </c>
      <c r="H348" s="307">
        <f t="shared" ca="1" si="157"/>
        <v>-7.1649711594168011</v>
      </c>
      <c r="I348" s="304">
        <f t="shared" ca="1" si="158"/>
        <v>24.42352003054236</v>
      </c>
      <c r="J348" s="306">
        <f t="shared" ca="1" si="159"/>
        <v>451.83562316206263</v>
      </c>
      <c r="K348" s="307">
        <f t="shared" ca="1" si="160"/>
        <v>1333.6134548754326</v>
      </c>
      <c r="L348" s="304">
        <f t="shared" ca="1" si="145"/>
        <v>1408.076800953356</v>
      </c>
      <c r="M348" s="306">
        <f t="shared" ca="1" si="161"/>
        <v>-0.29774332848966767</v>
      </c>
      <c r="N348" s="304">
        <f t="shared" ca="1" si="162"/>
        <v>-17.059436100635242</v>
      </c>
      <c r="P348" s="310">
        <f t="shared" ca="1" si="163"/>
        <v>23</v>
      </c>
      <c r="Q348" s="304">
        <f t="shared" ca="1" si="164"/>
        <v>0</v>
      </c>
      <c r="R348" s="306">
        <f t="shared" ca="1" si="165"/>
        <v>0</v>
      </c>
      <c r="S348" s="307">
        <f t="shared" ca="1" si="166"/>
        <v>8.0499999999999989</v>
      </c>
      <c r="T348" s="304">
        <f t="shared" ca="1" si="146"/>
        <v>78.970499999999987</v>
      </c>
      <c r="U348" s="311">
        <f t="shared" ca="1" si="147"/>
        <v>0</v>
      </c>
      <c r="V348" s="306">
        <f t="shared" ca="1" si="148"/>
        <v>1.0718448408256822</v>
      </c>
      <c r="W348" s="304">
        <f t="shared" ca="1" si="149"/>
        <v>1.9866928179756633</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2.2697444531593094</v>
      </c>
      <c r="AH348" s="304">
        <f t="shared" ca="1" si="173"/>
        <v>-0.24184357914299606</v>
      </c>
    </row>
    <row r="349" spans="1:34" x14ac:dyDescent="0.3">
      <c r="A349" s="347">
        <f t="shared" ca="1" si="151"/>
        <v>0.1</v>
      </c>
      <c r="B349" s="304">
        <f t="shared" ca="1" si="152"/>
        <v>16.499999999999968</v>
      </c>
      <c r="D349" s="306">
        <f t="shared" ca="1" si="153"/>
        <v>-0.23593543073764786</v>
      </c>
      <c r="E349" s="307">
        <f t="shared" ca="1" si="154"/>
        <v>-9.7375995890367317</v>
      </c>
      <c r="F349" s="304">
        <f t="shared" ca="1" si="155"/>
        <v>9.7404574473628127</v>
      </c>
      <c r="G349" s="306">
        <f t="shared" ca="1" si="156"/>
        <v>23.325314760464313</v>
      </c>
      <c r="H349" s="307">
        <f t="shared" ca="1" si="157"/>
        <v>-8.1387311183204751</v>
      </c>
      <c r="I349" s="304">
        <f t="shared" ca="1" si="158"/>
        <v>24.704437918945906</v>
      </c>
      <c r="J349" s="306">
        <f t="shared" ca="1" si="159"/>
        <v>454.16933431526274</v>
      </c>
      <c r="K349" s="307">
        <f t="shared" ca="1" si="160"/>
        <v>1332.8482697615457</v>
      </c>
      <c r="L349" s="304">
        <f t="shared" ca="1" si="145"/>
        <v>1408.1030837402193</v>
      </c>
      <c r="M349" s="306">
        <f t="shared" ca="1" si="161"/>
        <v>-0.33571473822581249</v>
      </c>
      <c r="N349" s="304">
        <f t="shared" ca="1" si="162"/>
        <v>-19.235037620678302</v>
      </c>
      <c r="P349" s="310">
        <f t="shared" ca="1" si="163"/>
        <v>23</v>
      </c>
      <c r="Q349" s="304">
        <f t="shared" ca="1" si="164"/>
        <v>0</v>
      </c>
      <c r="R349" s="306">
        <f t="shared" ca="1" si="165"/>
        <v>0</v>
      </c>
      <c r="S349" s="307">
        <f t="shared" ca="1" si="166"/>
        <v>8.0499999999999989</v>
      </c>
      <c r="T349" s="304">
        <f t="shared" ca="1" si="146"/>
        <v>78.970499999999987</v>
      </c>
      <c r="U349" s="311">
        <f t="shared" ca="1" si="147"/>
        <v>0</v>
      </c>
      <c r="V349" s="306">
        <f t="shared" ca="1" si="148"/>
        <v>1.0719272260495813</v>
      </c>
      <c r="W349" s="304">
        <f t="shared" ca="1" si="149"/>
        <v>2.0328135304482857</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2.631102535555395</v>
      </c>
      <c r="AH349" s="304">
        <f t="shared" ca="1" si="173"/>
        <v>-0.24679413887896443</v>
      </c>
    </row>
    <row r="350" spans="1:34" x14ac:dyDescent="0.3">
      <c r="A350" s="347">
        <f t="shared" ca="1" si="151"/>
        <v>0.1</v>
      </c>
      <c r="B350" s="304">
        <f t="shared" ca="1" si="152"/>
        <v>16.599999999999969</v>
      </c>
      <c r="D350" s="306">
        <f t="shared" ca="1" si="153"/>
        <v>-0.23842632136038622</v>
      </c>
      <c r="E350" s="307">
        <f t="shared" ca="1" si="154"/>
        <v>-9.7268076512145711</v>
      </c>
      <c r="F350" s="304">
        <f t="shared" ca="1" si="155"/>
        <v>9.7297293998571082</v>
      </c>
      <c r="G350" s="306">
        <f t="shared" ca="1" si="156"/>
        <v>23.301472128328275</v>
      </c>
      <c r="H350" s="307">
        <f t="shared" ca="1" si="157"/>
        <v>-9.1114118834419315</v>
      </c>
      <c r="I350" s="304">
        <f t="shared" ca="1" si="158"/>
        <v>25.019520975769826</v>
      </c>
      <c r="J350" s="306">
        <f t="shared" ca="1" si="159"/>
        <v>456.50067365970239</v>
      </c>
      <c r="K350" s="307">
        <f t="shared" ca="1" si="160"/>
        <v>1331.9857626114576</v>
      </c>
      <c r="L350" s="304">
        <f t="shared" ca="1" si="145"/>
        <v>1408.0408150516762</v>
      </c>
      <c r="M350" s="306">
        <f t="shared" ca="1" si="161"/>
        <v>-0.3727437229155191</v>
      </c>
      <c r="N350" s="304">
        <f t="shared" ca="1" si="162"/>
        <v>-21.356642163053035</v>
      </c>
      <c r="P350" s="310">
        <f t="shared" ca="1" si="163"/>
        <v>23</v>
      </c>
      <c r="Q350" s="304">
        <f t="shared" ca="1" si="164"/>
        <v>0</v>
      </c>
      <c r="R350" s="306">
        <f t="shared" ca="1" si="165"/>
        <v>0</v>
      </c>
      <c r="S350" s="307">
        <f t="shared" ca="1" si="166"/>
        <v>8.0499999999999989</v>
      </c>
      <c r="T350" s="304">
        <f t="shared" ca="1" si="146"/>
        <v>78.970499999999987</v>
      </c>
      <c r="U350" s="311">
        <f t="shared" ca="1" si="147"/>
        <v>0</v>
      </c>
      <c r="V350" s="306">
        <f t="shared" ca="1" si="148"/>
        <v>1.0720200967357776</v>
      </c>
      <c r="W350" s="304">
        <f t="shared" ca="1" si="149"/>
        <v>2.0851782892995012</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2.9793231224864707</v>
      </c>
      <c r="AH350" s="304">
        <f t="shared" ca="1" si="173"/>
        <v>-0.2525234199314641</v>
      </c>
    </row>
    <row r="351" spans="1:34" x14ac:dyDescent="0.3">
      <c r="A351" s="347">
        <f t="shared" ca="1" si="151"/>
        <v>0.1</v>
      </c>
      <c r="B351" s="304">
        <f t="shared" ca="1" si="152"/>
        <v>16.699999999999971</v>
      </c>
      <c r="D351" s="306">
        <f t="shared" ca="1" si="153"/>
        <v>-0.2412413127992139</v>
      </c>
      <c r="E351" s="307">
        <f t="shared" ca="1" si="154"/>
        <v>-9.7156690945485948</v>
      </c>
      <c r="F351" s="304">
        <f t="shared" ca="1" si="155"/>
        <v>9.7186636594630542</v>
      </c>
      <c r="G351" s="306">
        <f t="shared" ca="1" si="156"/>
        <v>23.277347997048352</v>
      </c>
      <c r="H351" s="307">
        <f t="shared" ca="1" si="157"/>
        <v>-10.082978792896791</v>
      </c>
      <c r="I351" s="304">
        <f t="shared" ca="1" si="158"/>
        <v>25.36732920734261</v>
      </c>
      <c r="J351" s="306">
        <f t="shared" ca="1" si="159"/>
        <v>458.82961466597123</v>
      </c>
      <c r="K351" s="307">
        <f t="shared" ca="1" si="160"/>
        <v>1331.0260430776407</v>
      </c>
      <c r="L351" s="304">
        <f t="shared" ca="1" si="145"/>
        <v>1407.8902452412422</v>
      </c>
      <c r="M351" s="306">
        <f t="shared" ca="1" si="161"/>
        <v>-0.40876777554964822</v>
      </c>
      <c r="N351" s="304">
        <f t="shared" ca="1" si="162"/>
        <v>-23.420668339945767</v>
      </c>
      <c r="P351" s="310">
        <f t="shared" ca="1" si="163"/>
        <v>23</v>
      </c>
      <c r="Q351" s="304">
        <f t="shared" ca="1" si="164"/>
        <v>0</v>
      </c>
      <c r="R351" s="306">
        <f t="shared" ca="1" si="165"/>
        <v>0</v>
      </c>
      <c r="S351" s="307">
        <f t="shared" ca="1" si="166"/>
        <v>8.0499999999999989</v>
      </c>
      <c r="T351" s="304">
        <f t="shared" ca="1" si="146"/>
        <v>78.970499999999987</v>
      </c>
      <c r="U351" s="311">
        <f t="shared" ca="1" si="147"/>
        <v>0</v>
      </c>
      <c r="V351" s="306">
        <f t="shared" ca="1" si="148"/>
        <v>1.0721234436189495</v>
      </c>
      <c r="W351" s="304">
        <f t="shared" ca="1" si="149"/>
        <v>2.1437620045193198</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3.3135000944883819</v>
      </c>
      <c r="AH351" s="304">
        <f t="shared" ca="1" si="173"/>
        <v>-0.25902835891919274</v>
      </c>
    </row>
    <row r="352" spans="1:34" x14ac:dyDescent="0.3">
      <c r="A352" s="347">
        <f t="shared" ca="1" si="151"/>
        <v>0.1</v>
      </c>
      <c r="B352" s="304">
        <f t="shared" ca="1" si="152"/>
        <v>16.799999999999972</v>
      </c>
      <c r="D352" s="306">
        <f t="shared" ca="1" si="153"/>
        <v>-0.24436524787563746</v>
      </c>
      <c r="E352" s="307">
        <f t="shared" ca="1" si="154"/>
        <v>-9.7041490408459143</v>
      </c>
      <c r="F352" s="304">
        <f t="shared" ca="1" si="155"/>
        <v>9.7072252977521849</v>
      </c>
      <c r="G352" s="306">
        <f t="shared" ca="1" si="156"/>
        <v>23.252911472260788</v>
      </c>
      <c r="H352" s="307">
        <f t="shared" ca="1" si="157"/>
        <v>-11.053393696981383</v>
      </c>
      <c r="I352" s="304">
        <f t="shared" ca="1" si="158"/>
        <v>25.746366814703492</v>
      </c>
      <c r="J352" s="306">
        <f t="shared" ca="1" si="159"/>
        <v>461.1561276394367</v>
      </c>
      <c r="K352" s="307">
        <f t="shared" ca="1" si="160"/>
        <v>1329.9692244531468</v>
      </c>
      <c r="L352" s="304">
        <f t="shared" ca="1" si="145"/>
        <v>1407.6516302167611</v>
      </c>
      <c r="M352" s="306">
        <f t="shared" ca="1" si="161"/>
        <v>-0.44373815391850741</v>
      </c>
      <c r="N352" s="304">
        <f t="shared" ca="1" si="162"/>
        <v>-25.424323428456987</v>
      </c>
      <c r="P352" s="310">
        <f t="shared" ca="1" si="163"/>
        <v>23</v>
      </c>
      <c r="Q352" s="304">
        <f t="shared" ca="1" si="164"/>
        <v>0</v>
      </c>
      <c r="R352" s="306">
        <f t="shared" ca="1" si="165"/>
        <v>0</v>
      </c>
      <c r="S352" s="307">
        <f t="shared" ca="1" si="166"/>
        <v>8.0499999999999989</v>
      </c>
      <c r="T352" s="304">
        <f t="shared" ca="1" si="146"/>
        <v>78.970499999999987</v>
      </c>
      <c r="U352" s="311">
        <f t="shared" ca="1" si="147"/>
        <v>0</v>
      </c>
      <c r="V352" s="306">
        <f t="shared" ca="1" si="148"/>
        <v>1.0722372573245591</v>
      </c>
      <c r="W352" s="304">
        <f t="shared" ca="1" si="149"/>
        <v>2.208539063442525</v>
      </c>
      <c r="Y352" s="314" t="str">
        <f t="shared" ca="1" si="167"/>
        <v/>
      </c>
      <c r="Z352" s="315" t="str">
        <f t="shared" ca="1" si="168"/>
        <v/>
      </c>
      <c r="AA352" s="316" t="str">
        <f t="shared" ca="1" si="169"/>
        <v/>
      </c>
      <c r="AC352" s="310" t="e">
        <f t="shared" ca="1" si="170"/>
        <v>#N/A</v>
      </c>
      <c r="AD352" s="323" t="e">
        <f t="shared" ca="1" si="171"/>
        <v>#N/A</v>
      </c>
      <c r="AE352" s="324" t="e">
        <f t="shared" ca="1" si="150"/>
        <v>#N/A</v>
      </c>
      <c r="AG352" s="306">
        <f t="shared" ca="1" si="172"/>
        <v>3.6329624342990532</v>
      </c>
      <c r="AH352" s="304">
        <f t="shared" ca="1" si="173"/>
        <v>-0.26630583907072297</v>
      </c>
    </row>
    <row r="353" spans="1:34" x14ac:dyDescent="0.3">
      <c r="A353" s="347">
        <f t="shared" ca="1" si="151"/>
        <v>0.1</v>
      </c>
      <c r="B353" s="304">
        <f t="shared" ca="1" si="152"/>
        <v>16.899999999999974</v>
      </c>
      <c r="D353" s="306">
        <f t="shared" ca="1" si="153"/>
        <v>-0.24778247725726965</v>
      </c>
      <c r="E353" s="307">
        <f t="shared" ca="1" si="154"/>
        <v>-9.6922152969702235</v>
      </c>
      <c r="F353" s="304">
        <f t="shared" ca="1" si="155"/>
        <v>9.6953820718349899</v>
      </c>
      <c r="G353" s="306">
        <f t="shared" ca="1" si="156"/>
        <v>23.22813322453506</v>
      </c>
      <c r="H353" s="307">
        <f t="shared" ca="1" si="157"/>
        <v>-12.022615226678404</v>
      </c>
      <c r="I353" s="304">
        <f t="shared" ca="1" si="158"/>
        <v>26.155103708177283</v>
      </c>
      <c r="J353" s="306">
        <f t="shared" ca="1" si="159"/>
        <v>463.48017987427647</v>
      </c>
      <c r="K353" s="307">
        <f t="shared" ca="1" si="160"/>
        <v>1328.8154240069639</v>
      </c>
      <c r="L353" s="304">
        <f t="shared" ca="1" si="145"/>
        <v>1407.3252318547759</v>
      </c>
      <c r="M353" s="306">
        <f t="shared" ca="1" si="161"/>
        <v>-0.47761921785052275</v>
      </c>
      <c r="N353" s="304">
        <f t="shared" ca="1" si="162"/>
        <v>-27.365565397174382</v>
      </c>
      <c r="P353" s="310">
        <f t="shared" ca="1" si="163"/>
        <v>23</v>
      </c>
      <c r="Q353" s="304">
        <f t="shared" ca="1" si="164"/>
        <v>0</v>
      </c>
      <c r="R353" s="306">
        <f t="shared" ca="1" si="165"/>
        <v>0</v>
      </c>
      <c r="S353" s="307">
        <f t="shared" ca="1" si="166"/>
        <v>8.0499999999999989</v>
      </c>
      <c r="T353" s="304">
        <f t="shared" ca="1" si="146"/>
        <v>78.970499999999987</v>
      </c>
      <c r="U353" s="311">
        <f t="shared" ca="1" si="147"/>
        <v>0</v>
      </c>
      <c r="V353" s="306">
        <f t="shared" ca="1" si="148"/>
        <v>1.0723615283316357</v>
      </c>
      <c r="W353" s="304">
        <f t="shared" ca="1" si="149"/>
        <v>2.2794832453311744</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3.9372626124236274</v>
      </c>
      <c r="AH353" s="304">
        <f t="shared" ca="1" si="173"/>
        <v>-0.27435267868851249</v>
      </c>
    </row>
    <row r="354" spans="1:34" x14ac:dyDescent="0.3">
      <c r="A354" s="347">
        <f t="shared" ca="1" si="151"/>
        <v>0.1</v>
      </c>
      <c r="B354" s="304">
        <f t="shared" ca="1" si="152"/>
        <v>16.999999999999975</v>
      </c>
      <c r="D354" s="306">
        <f t="shared" ca="1" si="153"/>
        <v>-0.25147706665025377</v>
      </c>
      <c r="E354" s="307">
        <f t="shared" ca="1" si="154"/>
        <v>-9.6798383558659715</v>
      </c>
      <c r="F354" s="304">
        <f t="shared" ca="1" si="155"/>
        <v>9.6831044252731804</v>
      </c>
      <c r="G354" s="306">
        <f t="shared" ca="1" si="156"/>
        <v>23.202985517870037</v>
      </c>
      <c r="H354" s="307">
        <f t="shared" ca="1" si="157"/>
        <v>-12.990599062265002</v>
      </c>
      <c r="I354" s="304">
        <f t="shared" ca="1" si="158"/>
        <v>26.591995053756442</v>
      </c>
      <c r="J354" s="306">
        <f t="shared" ca="1" si="159"/>
        <v>465.80173581139672</v>
      </c>
      <c r="K354" s="307">
        <f t="shared" ca="1" si="160"/>
        <v>1327.5647632925168</v>
      </c>
      <c r="L354" s="304">
        <f t="shared" ca="1" si="145"/>
        <v>1406.9113183924658</v>
      </c>
      <c r="M354" s="306">
        <f t="shared" ca="1" si="161"/>
        <v>-0.51038749982011899</v>
      </c>
      <c r="N354" s="304">
        <f t="shared" ca="1" si="162"/>
        <v>-29.243049655926882</v>
      </c>
      <c r="P354" s="310">
        <f t="shared" ca="1" si="163"/>
        <v>23</v>
      </c>
      <c r="Q354" s="304">
        <f t="shared" ca="1" si="164"/>
        <v>0</v>
      </c>
      <c r="R354" s="306">
        <f t="shared" ca="1" si="165"/>
        <v>0</v>
      </c>
      <c r="S354" s="307">
        <f t="shared" ca="1" si="166"/>
        <v>8.0499999999999989</v>
      </c>
      <c r="T354" s="304">
        <f t="shared" ca="1" si="146"/>
        <v>78.970499999999987</v>
      </c>
      <c r="U354" s="311">
        <f t="shared" ca="1" si="147"/>
        <v>0</v>
      </c>
      <c r="V354" s="306">
        <f t="shared" ca="1" si="148"/>
        <v>1.0724962469383894</v>
      </c>
      <c r="W354" s="304">
        <f t="shared" ca="1" si="149"/>
        <v>2.3565676434246217</v>
      </c>
      <c r="Y354" s="314" t="str">
        <f t="shared" ca="1" si="167"/>
        <v/>
      </c>
      <c r="Z354" s="315" t="str">
        <f t="shared" ca="1" si="168"/>
        <v/>
      </c>
      <c r="AA354" s="316" t="str">
        <f t="shared" ca="1" si="169"/>
        <v/>
      </c>
      <c r="AC354" s="310">
        <f t="shared" ca="1" si="170"/>
        <v>16.999999999999975</v>
      </c>
      <c r="AD354" s="323">
        <f t="shared" ca="1" si="171"/>
        <v>465.80173581139672</v>
      </c>
      <c r="AE354" s="324" t="e">
        <f t="shared" ca="1" si="150"/>
        <v>#N/A</v>
      </c>
      <c r="AG354" s="306">
        <f t="shared" ca="1" si="172"/>
        <v>4.2261590867786927</v>
      </c>
      <c r="AH354" s="304">
        <f t="shared" ca="1" si="173"/>
        <v>-0.28316562053803412</v>
      </c>
    </row>
    <row r="355" spans="1:34" x14ac:dyDescent="0.3">
      <c r="A355" s="347">
        <f t="shared" ca="1" si="151"/>
        <v>0.1</v>
      </c>
      <c r="B355" s="304">
        <f t="shared" ca="1" si="152"/>
        <v>17.099999999999977</v>
      </c>
      <c r="D355" s="306">
        <f t="shared" ca="1" si="153"/>
        <v>-0.25543298443516538</v>
      </c>
      <c r="E355" s="307">
        <f t="shared" ca="1" si="154"/>
        <v>-9.666991356326994</v>
      </c>
      <c r="F355" s="304">
        <f t="shared" ca="1" si="155"/>
        <v>9.670365447739723</v>
      </c>
      <c r="G355" s="306">
        <f t="shared" ca="1" si="156"/>
        <v>23.177442219426521</v>
      </c>
      <c r="H355" s="307">
        <f t="shared" ca="1" si="157"/>
        <v>-13.957298197897702</v>
      </c>
      <c r="I355" s="304">
        <f t="shared" ca="1" si="158"/>
        <v>27.05549853208943</v>
      </c>
      <c r="J355" s="306">
        <f t="shared" ca="1" si="159"/>
        <v>468.12075719826157</v>
      </c>
      <c r="K355" s="307">
        <f t="shared" ca="1" si="160"/>
        <v>1326.2173684295087</v>
      </c>
      <c r="L355" s="304">
        <f t="shared" ca="1" si="145"/>
        <v>1406.4101647968721</v>
      </c>
      <c r="M355" s="306">
        <f t="shared" ca="1" si="161"/>
        <v>-0.54203059023076128</v>
      </c>
      <c r="N355" s="304">
        <f t="shared" ca="1" si="162"/>
        <v>-31.056065187207572</v>
      </c>
      <c r="P355" s="310">
        <f t="shared" ca="1" si="163"/>
        <v>23</v>
      </c>
      <c r="Q355" s="304">
        <f t="shared" ca="1" si="164"/>
        <v>0</v>
      </c>
      <c r="R355" s="306">
        <f t="shared" ca="1" si="165"/>
        <v>0</v>
      </c>
      <c r="S355" s="307">
        <f t="shared" ca="1" si="166"/>
        <v>8.0499999999999989</v>
      </c>
      <c r="T355" s="304">
        <f t="shared" ca="1" si="146"/>
        <v>78.970499999999987</v>
      </c>
      <c r="U355" s="311">
        <f t="shared" ca="1" si="147"/>
        <v>0</v>
      </c>
      <c r="V355" s="306">
        <f t="shared" ca="1" si="148"/>
        <v>1.0726414032306391</v>
      </c>
      <c r="W355" s="304">
        <f t="shared" ca="1" si="149"/>
        <v>2.4397645943651494</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4.4995947377362109</v>
      </c>
      <c r="AH355" s="304">
        <f t="shared" ca="1" si="173"/>
        <v>-0.29274132216454929</v>
      </c>
    </row>
    <row r="356" spans="1:34" x14ac:dyDescent="0.3">
      <c r="A356" s="347">
        <f t="shared" ca="1" si="151"/>
        <v>0.1</v>
      </c>
      <c r="B356" s="304">
        <f t="shared" ca="1" si="152"/>
        <v>17.199999999999978</v>
      </c>
      <c r="D356" s="306">
        <f t="shared" ca="1" si="153"/>
        <v>-0.25963426677422524</v>
      </c>
      <c r="E356" s="307">
        <f t="shared" ca="1" si="154"/>
        <v>-9.653650008941753</v>
      </c>
      <c r="F356" s="304">
        <f t="shared" ca="1" si="155"/>
        <v>9.6571408008594606</v>
      </c>
      <c r="G356" s="306">
        <f t="shared" ca="1" si="156"/>
        <v>23.151478792749099</v>
      </c>
      <c r="H356" s="307">
        <f t="shared" ca="1" si="157"/>
        <v>-14.922663198791877</v>
      </c>
      <c r="I356" s="304">
        <f t="shared" ca="1" si="158"/>
        <v>27.544089152405977</v>
      </c>
      <c r="J356" s="306">
        <f t="shared" ca="1" si="159"/>
        <v>470.43720324887033</v>
      </c>
      <c r="K356" s="307">
        <f t="shared" ca="1" si="160"/>
        <v>1324.7733703596743</v>
      </c>
      <c r="L356" s="304">
        <f t="shared" ca="1" si="145"/>
        <v>1405.8220531115414</v>
      </c>
      <c r="M356" s="306">
        <f t="shared" ca="1" si="161"/>
        <v>-0.57254591256567122</v>
      </c>
      <c r="N356" s="304">
        <f t="shared" ca="1" si="162"/>
        <v>-32.804464367479206</v>
      </c>
      <c r="P356" s="310">
        <f t="shared" ca="1" si="163"/>
        <v>23</v>
      </c>
      <c r="Q356" s="304">
        <f t="shared" ca="1" si="164"/>
        <v>0</v>
      </c>
      <c r="R356" s="306">
        <f t="shared" ca="1" si="165"/>
        <v>0</v>
      </c>
      <c r="S356" s="307">
        <f t="shared" ca="1" si="166"/>
        <v>8.0499999999999989</v>
      </c>
      <c r="T356" s="304">
        <f t="shared" ca="1" si="146"/>
        <v>78.970499999999987</v>
      </c>
      <c r="U356" s="311">
        <f t="shared" ca="1" si="147"/>
        <v>0</v>
      </c>
      <c r="V356" s="306">
        <f t="shared" ca="1" si="148"/>
        <v>1.0727969870529763</v>
      </c>
      <c r="W356" s="304">
        <f t="shared" ca="1" si="149"/>
        <v>2.5290456148138669</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4.7576729552376964</v>
      </c>
      <c r="AH356" s="304">
        <f t="shared" ca="1" si="173"/>
        <v>-0.30307634712610554</v>
      </c>
    </row>
    <row r="357" spans="1:34" x14ac:dyDescent="0.3">
      <c r="A357" s="347">
        <f t="shared" ca="1" si="151"/>
        <v>0.1</v>
      </c>
      <c r="B357" s="304">
        <f t="shared" ca="1" si="152"/>
        <v>17.299999999999979</v>
      </c>
      <c r="D357" s="306">
        <f t="shared" ca="1" si="153"/>
        <v>-0.26406515877837572</v>
      </c>
      <c r="E357" s="307">
        <f t="shared" ca="1" si="154"/>
        <v>-9.639792495664711</v>
      </c>
      <c r="F357" s="304">
        <f t="shared" ca="1" si="155"/>
        <v>9.643408617680489</v>
      </c>
      <c r="G357" s="306">
        <f t="shared" ca="1" si="156"/>
        <v>23.125072276871261</v>
      </c>
      <c r="H357" s="307">
        <f t="shared" ca="1" si="157"/>
        <v>-15.886642448358348</v>
      </c>
      <c r="I357" s="304">
        <f t="shared" ca="1" si="158"/>
        <v>28.056271599991707</v>
      </c>
      <c r="J357" s="306">
        <f t="shared" ca="1" si="159"/>
        <v>472.75103080235135</v>
      </c>
      <c r="K357" s="307">
        <f t="shared" ca="1" si="160"/>
        <v>1323.2329050773169</v>
      </c>
      <c r="L357" s="304">
        <f t="shared" ca="1" si="145"/>
        <v>1405.1472727810567</v>
      </c>
      <c r="M357" s="306">
        <f t="shared" ca="1" si="161"/>
        <v>-0.60193945371655377</v>
      </c>
      <c r="N357" s="304">
        <f t="shared" ca="1" si="162"/>
        <v>-34.488590220368884</v>
      </c>
      <c r="P357" s="310">
        <f t="shared" ca="1" si="163"/>
        <v>23</v>
      </c>
      <c r="Q357" s="304">
        <f t="shared" ca="1" si="164"/>
        <v>0</v>
      </c>
      <c r="R357" s="306">
        <f t="shared" ca="1" si="165"/>
        <v>0</v>
      </c>
      <c r="S357" s="307">
        <f t="shared" ca="1" si="166"/>
        <v>8.0499999999999989</v>
      </c>
      <c r="T357" s="304">
        <f t="shared" ca="1" si="146"/>
        <v>78.970499999999987</v>
      </c>
      <c r="U357" s="311">
        <f t="shared" ca="1" si="147"/>
        <v>0</v>
      </c>
      <c r="V357" s="306">
        <f t="shared" ca="1" si="148"/>
        <v>1.0729629879825826</v>
      </c>
      <c r="W357" s="304">
        <f t="shared" ca="1" si="149"/>
        <v>2.6243813449974227</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5.0006328774771989</v>
      </c>
      <c r="AH357" s="304">
        <f t="shared" ca="1" si="173"/>
        <v>-0.31416715711973509</v>
      </c>
    </row>
    <row r="358" spans="1:34" x14ac:dyDescent="0.3">
      <c r="A358" s="347">
        <f t="shared" ca="1" si="151"/>
        <v>0.1</v>
      </c>
      <c r="B358" s="304">
        <f t="shared" ca="1" si="152"/>
        <v>17.399999999999981</v>
      </c>
      <c r="D358" s="306">
        <f t="shared" ca="1" si="153"/>
        <v>-0.26871023163291752</v>
      </c>
      <c r="E358" s="307">
        <f t="shared" ca="1" si="154"/>
        <v>-9.6253993500622581</v>
      </c>
      <c r="F358" s="304">
        <f t="shared" ca="1" si="155"/>
        <v>9.6291493828252115</v>
      </c>
      <c r="G358" s="306">
        <f t="shared" ca="1" si="156"/>
        <v>23.09820125370797</v>
      </c>
      <c r="H358" s="307">
        <f t="shared" ca="1" si="157"/>
        <v>-16.849182383364575</v>
      </c>
      <c r="I358" s="304">
        <f t="shared" ca="1" si="158"/>
        <v>28.59059020280413</v>
      </c>
      <c r="J358" s="306">
        <f t="shared" ca="1" si="159"/>
        <v>475.06219447888031</v>
      </c>
      <c r="K358" s="307">
        <f t="shared" ca="1" si="160"/>
        <v>1321.5961138357306</v>
      </c>
      <c r="L358" s="304">
        <f t="shared" ca="1" si="145"/>
        <v>1404.3861209542035</v>
      </c>
      <c r="M358" s="306">
        <f t="shared" ca="1" si="161"/>
        <v>-0.6302245029507213</v>
      </c>
      <c r="N358" s="304">
        <f t="shared" ca="1" si="162"/>
        <v>-36.109204164806428</v>
      </c>
      <c r="P358" s="310">
        <f t="shared" ca="1" si="163"/>
        <v>23</v>
      </c>
      <c r="Q358" s="304">
        <f t="shared" ca="1" si="164"/>
        <v>0</v>
      </c>
      <c r="R358" s="306">
        <f t="shared" ca="1" si="165"/>
        <v>0</v>
      </c>
      <c r="S358" s="307">
        <f t="shared" ca="1" si="166"/>
        <v>8.0499999999999989</v>
      </c>
      <c r="T358" s="304">
        <f t="shared" ca="1" si="146"/>
        <v>78.970499999999987</v>
      </c>
      <c r="U358" s="311">
        <f t="shared" ca="1" si="147"/>
        <v>0</v>
      </c>
      <c r="V358" s="306">
        <f t="shared" ca="1" si="148"/>
        <v>1.0731393953055683</v>
      </c>
      <c r="W358" s="304">
        <f t="shared" ca="1" si="149"/>
        <v>2.7257414988705895</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5.2288250007209527</v>
      </c>
      <c r="AH358" s="304">
        <f t="shared" ca="1" si="173"/>
        <v>-0.32601010496862398</v>
      </c>
    </row>
    <row r="359" spans="1:34" x14ac:dyDescent="0.3">
      <c r="A359" s="347">
        <f t="shared" ca="1" si="151"/>
        <v>0.1</v>
      </c>
      <c r="B359" s="304">
        <f t="shared" ca="1" si="152"/>
        <v>17.499999999999982</v>
      </c>
      <c r="D359" s="306">
        <f t="shared" ca="1" si="153"/>
        <v>-0.27355447660286963</v>
      </c>
      <c r="E359" s="307">
        <f t="shared" ca="1" si="154"/>
        <v>-9.6104533245926387</v>
      </c>
      <c r="F359" s="304">
        <f t="shared" ca="1" si="155"/>
        <v>9.614345799680974</v>
      </c>
      <c r="G359" s="306">
        <f t="shared" ca="1" si="156"/>
        <v>23.070845806047682</v>
      </c>
      <c r="H359" s="307">
        <f t="shared" ca="1" si="157"/>
        <v>-17.810227715823839</v>
      </c>
      <c r="I359" s="304">
        <f t="shared" ca="1" si="158"/>
        <v>29.145636680229302</v>
      </c>
      <c r="J359" s="306">
        <f t="shared" ca="1" si="159"/>
        <v>477.3706468318681</v>
      </c>
      <c r="K359" s="307">
        <f t="shared" ca="1" si="160"/>
        <v>1319.8631433307712</v>
      </c>
      <c r="L359" s="304">
        <f t="shared" ca="1" si="145"/>
        <v>1403.5389027667384</v>
      </c>
      <c r="M359" s="306">
        <f t="shared" ca="1" si="161"/>
        <v>-0.65742044064870431</v>
      </c>
      <c r="N359" s="304">
        <f t="shared" ca="1" si="162"/>
        <v>-37.667416614801589</v>
      </c>
      <c r="P359" s="310">
        <f t="shared" ca="1" si="163"/>
        <v>23</v>
      </c>
      <c r="Q359" s="304">
        <f t="shared" ca="1" si="164"/>
        <v>0</v>
      </c>
      <c r="R359" s="306">
        <f t="shared" ca="1" si="165"/>
        <v>0</v>
      </c>
      <c r="S359" s="307">
        <f t="shared" ca="1" si="166"/>
        <v>8.0499999999999989</v>
      </c>
      <c r="T359" s="304">
        <f t="shared" ca="1" si="146"/>
        <v>78.970499999999987</v>
      </c>
      <c r="U359" s="311">
        <f t="shared" ca="1" si="147"/>
        <v>0</v>
      </c>
      <c r="V359" s="306">
        <f t="shared" ca="1" si="148"/>
        <v>1.073326197995697</v>
      </c>
      <c r="W359" s="304">
        <f t="shared" ca="1" si="149"/>
        <v>2.8330948205414308</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5.4426880800518038</v>
      </c>
      <c r="AH359" s="304">
        <f t="shared" ca="1" si="173"/>
        <v>-0.33860142843112917</v>
      </c>
    </row>
    <row r="360" spans="1:34" x14ac:dyDescent="0.3">
      <c r="A360" s="347">
        <f t="shared" ca="1" si="151"/>
        <v>0.1</v>
      </c>
      <c r="B360" s="304">
        <f t="shared" ca="1" si="152"/>
        <v>17.599999999999984</v>
      </c>
      <c r="D360" s="306">
        <f t="shared" ca="1" si="153"/>
        <v>-0.27858337757333507</v>
      </c>
      <c r="E360" s="307">
        <f t="shared" ca="1" si="154"/>
        <v>-9.594939250422982</v>
      </c>
      <c r="F360" s="304">
        <f t="shared" ca="1" si="155"/>
        <v>9.5989826501336957</v>
      </c>
      <c r="G360" s="306">
        <f t="shared" ca="1" si="156"/>
        <v>23.042987468290349</v>
      </c>
      <c r="H360" s="307">
        <f t="shared" ca="1" si="157"/>
        <v>-18.769721640866138</v>
      </c>
      <c r="I360" s="304">
        <f t="shared" ca="1" si="158"/>
        <v>29.720055887218393</v>
      </c>
      <c r="J360" s="306">
        <f t="shared" ca="1" si="159"/>
        <v>479.67633849558501</v>
      </c>
      <c r="K360" s="307">
        <f t="shared" ca="1" si="160"/>
        <v>1318.0341458629366</v>
      </c>
      <c r="L360" s="304">
        <f t="shared" ca="1" si="145"/>
        <v>1402.6059316048725</v>
      </c>
      <c r="M360" s="306">
        <f t="shared" ca="1" si="161"/>
        <v>-0.68355160623481948</v>
      </c>
      <c r="N360" s="304">
        <f t="shared" ca="1" si="162"/>
        <v>-39.164622116643486</v>
      </c>
      <c r="P360" s="310">
        <f t="shared" ca="1" si="163"/>
        <v>23</v>
      </c>
      <c r="Q360" s="304">
        <f t="shared" ca="1" si="164"/>
        <v>0</v>
      </c>
      <c r="R360" s="306">
        <f t="shared" ca="1" si="165"/>
        <v>0</v>
      </c>
      <c r="S360" s="307">
        <f t="shared" ca="1" si="166"/>
        <v>8.0499999999999989</v>
      </c>
      <c r="T360" s="304">
        <f t="shared" ca="1" si="146"/>
        <v>78.970499999999987</v>
      </c>
      <c r="U360" s="311">
        <f t="shared" ca="1" si="147"/>
        <v>0</v>
      </c>
      <c r="V360" s="306">
        <f t="shared" ca="1" si="148"/>
        <v>1.0735233846953538</v>
      </c>
      <c r="W360" s="304">
        <f t="shared" ca="1" si="149"/>
        <v>2.9464090465823927</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5.6427279536139858</v>
      </c>
      <c r="AH360" s="304">
        <f t="shared" ca="1" si="173"/>
        <v>-0.3519372447877554</v>
      </c>
    </row>
    <row r="361" spans="1:34" x14ac:dyDescent="0.3">
      <c r="A361" s="347">
        <f t="shared" ca="1" si="151"/>
        <v>0.1</v>
      </c>
      <c r="B361" s="304">
        <f t="shared" ca="1" si="152"/>
        <v>17.699999999999985</v>
      </c>
      <c r="D361" s="306">
        <f t="shared" ca="1" si="153"/>
        <v>-0.2837829642507686</v>
      </c>
      <c r="E361" s="307">
        <f t="shared" ca="1" si="154"/>
        <v>-9.578843894363235</v>
      </c>
      <c r="F361" s="304">
        <f t="shared" ca="1" si="155"/>
        <v>9.5830466514245245</v>
      </c>
      <c r="G361" s="306">
        <f t="shared" ca="1" si="156"/>
        <v>23.014609171865271</v>
      </c>
      <c r="H361" s="307">
        <f t="shared" ca="1" si="157"/>
        <v>-19.727606030302461</v>
      </c>
      <c r="I361" s="304">
        <f t="shared" ca="1" si="158"/>
        <v>30.31254979411219</v>
      </c>
      <c r="J361" s="306">
        <f t="shared" ca="1" si="159"/>
        <v>481.97921832759278</v>
      </c>
      <c r="K361" s="307">
        <f t="shared" ca="1" si="160"/>
        <v>1316.1092794793781</v>
      </c>
      <c r="L361" s="304">
        <f t="shared" ca="1" si="145"/>
        <v>1401.587529350702</v>
      </c>
      <c r="M361" s="306">
        <f t="shared" ca="1" si="161"/>
        <v>-0.7086462643375705</v>
      </c>
      <c r="N361" s="304">
        <f t="shared" ca="1" si="162"/>
        <v>-40.60244011425489</v>
      </c>
      <c r="P361" s="310">
        <f t="shared" ca="1" si="163"/>
        <v>23</v>
      </c>
      <c r="Q361" s="304">
        <f t="shared" ca="1" si="164"/>
        <v>0</v>
      </c>
      <c r="R361" s="306">
        <f t="shared" ca="1" si="165"/>
        <v>0</v>
      </c>
      <c r="S361" s="307">
        <f t="shared" ca="1" si="166"/>
        <v>8.0499999999999989</v>
      </c>
      <c r="T361" s="304">
        <f t="shared" ca="1" si="146"/>
        <v>78.970499999999987</v>
      </c>
      <c r="U361" s="311">
        <f t="shared" ca="1" si="147"/>
        <v>0</v>
      </c>
      <c r="V361" s="306">
        <f t="shared" ca="1" si="148"/>
        <v>1.0737309436985947</v>
      </c>
      <c r="W361" s="304">
        <f t="shared" ca="1" si="149"/>
        <v>3.0656508738400201</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5.829498669417835</v>
      </c>
      <c r="AH361" s="304">
        <f t="shared" ca="1" si="173"/>
        <v>-0.36601354615930348</v>
      </c>
    </row>
    <row r="362" spans="1:34" x14ac:dyDescent="0.3">
      <c r="A362" s="347">
        <f t="shared" ca="1" si="151"/>
        <v>0.1</v>
      </c>
      <c r="B362" s="304">
        <f t="shared" ca="1" si="152"/>
        <v>17.799999999999986</v>
      </c>
      <c r="D362" s="306">
        <f t="shared" ca="1" si="153"/>
        <v>-0.2891398483980106</v>
      </c>
      <c r="E362" s="307">
        <f t="shared" ca="1" si="154"/>
        <v>-9.5621558165832177</v>
      </c>
      <c r="F362" s="304">
        <f t="shared" ca="1" si="155"/>
        <v>9.5665263137958227</v>
      </c>
      <c r="G362" s="306">
        <f t="shared" ca="1" si="156"/>
        <v>22.98569518702547</v>
      </c>
      <c r="H362" s="307">
        <f t="shared" ca="1" si="157"/>
        <v>-20.683821611960781</v>
      </c>
      <c r="I362" s="304">
        <f t="shared" ca="1" si="158"/>
        <v>30.92187995103567</v>
      </c>
      <c r="J362" s="306">
        <f t="shared" ca="1" si="159"/>
        <v>484.27923354553729</v>
      </c>
      <c r="K362" s="307">
        <f t="shared" ca="1" si="160"/>
        <v>1314.088708097265</v>
      </c>
      <c r="L362" s="304">
        <f t="shared" ca="1" si="145"/>
        <v>1400.4840266108686</v>
      </c>
      <c r="M362" s="306">
        <f t="shared" ca="1" si="161"/>
        <v>-0.73273567952112939</v>
      </c>
      <c r="N362" s="304">
        <f t="shared" ca="1" si="162"/>
        <v>-41.982661935211183</v>
      </c>
      <c r="P362" s="310">
        <f t="shared" ca="1" si="163"/>
        <v>23</v>
      </c>
      <c r="Q362" s="304">
        <f t="shared" ca="1" si="164"/>
        <v>0</v>
      </c>
      <c r="R362" s="306">
        <f t="shared" ca="1" si="165"/>
        <v>0</v>
      </c>
      <c r="S362" s="307">
        <f t="shared" ca="1" si="166"/>
        <v>8.0499999999999989</v>
      </c>
      <c r="T362" s="304">
        <f t="shared" ca="1" si="146"/>
        <v>78.970499999999987</v>
      </c>
      <c r="U362" s="311">
        <f t="shared" ca="1" si="147"/>
        <v>0</v>
      </c>
      <c r="V362" s="306">
        <f t="shared" ca="1" si="148"/>
        <v>1.0739488629361293</v>
      </c>
      <c r="W362" s="304">
        <f t="shared" ca="1" si="149"/>
        <v>3.1907859323555541</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6.0035860849414329</v>
      </c>
      <c r="AH362" s="304">
        <f t="shared" ca="1" si="173"/>
        <v>-0.38082619550807706</v>
      </c>
    </row>
    <row r="363" spans="1:34" x14ac:dyDescent="0.3">
      <c r="A363" s="347">
        <f t="shared" ca="1" si="151"/>
        <v>0.1</v>
      </c>
      <c r="B363" s="304">
        <f t="shared" ca="1" si="152"/>
        <v>17.899999999999988</v>
      </c>
      <c r="D363" s="306">
        <f t="shared" ca="1" si="153"/>
        <v>-0.29464124554530707</v>
      </c>
      <c r="E363" s="307">
        <f t="shared" ca="1" si="154"/>
        <v>-9.5448652319280267</v>
      </c>
      <c r="F363" s="304">
        <f t="shared" ca="1" si="155"/>
        <v>9.5494118017417673</v>
      </c>
      <c r="G363" s="306">
        <f t="shared" ca="1" si="156"/>
        <v>22.956231062470941</v>
      </c>
      <c r="H363" s="307">
        <f t="shared" ca="1" si="157"/>
        <v>-21.638308135153583</v>
      </c>
      <c r="I363" s="304">
        <f t="shared" ca="1" si="158"/>
        <v>31.546868680511057</v>
      </c>
      <c r="J363" s="306">
        <f t="shared" ca="1" si="159"/>
        <v>486.57632985801212</v>
      </c>
      <c r="K363" s="307">
        <f t="shared" ca="1" si="160"/>
        <v>1311.9726016099094</v>
      </c>
      <c r="L363" s="304">
        <f t="shared" ca="1" si="145"/>
        <v>1399.2957629297557</v>
      </c>
      <c r="M363" s="306">
        <f t="shared" ca="1" si="161"/>
        <v>-0.75585330302657094</v>
      </c>
      <c r="N363" s="304">
        <f t="shared" ca="1" si="162"/>
        <v>-43.307204194445411</v>
      </c>
      <c r="P363" s="310">
        <f t="shared" ca="1" si="163"/>
        <v>23</v>
      </c>
      <c r="Q363" s="304">
        <f t="shared" ca="1" si="164"/>
        <v>0</v>
      </c>
      <c r="R363" s="306">
        <f t="shared" ca="1" si="165"/>
        <v>0</v>
      </c>
      <c r="S363" s="307">
        <f t="shared" ca="1" si="166"/>
        <v>8.0499999999999989</v>
      </c>
      <c r="T363" s="304">
        <f t="shared" ca="1" si="146"/>
        <v>78.970499999999987</v>
      </c>
      <c r="U363" s="311">
        <f t="shared" ca="1" si="147"/>
        <v>0</v>
      </c>
      <c r="V363" s="306">
        <f t="shared" ca="1" si="148"/>
        <v>1.0741771299620824</v>
      </c>
      <c r="W363" s="304">
        <f t="shared" ca="1" si="149"/>
        <v>3.3217787630163285</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6.1655939486755074</v>
      </c>
      <c r="AH363" s="304">
        <f t="shared" ca="1" si="173"/>
        <v>-0.39637092327398193</v>
      </c>
    </row>
    <row r="364" spans="1:34" x14ac:dyDescent="0.3">
      <c r="A364" s="347">
        <f t="shared" ca="1" si="151"/>
        <v>0.1</v>
      </c>
      <c r="B364" s="304">
        <f t="shared" ca="1" si="152"/>
        <v>17.999999999999989</v>
      </c>
      <c r="D364" s="306">
        <f t="shared" ca="1" si="153"/>
        <v>-0.30027498455708396</v>
      </c>
      <c r="E364" s="307">
        <f t="shared" ca="1" si="154"/>
        <v>-9.5269638768906297</v>
      </c>
      <c r="F364" s="304">
        <f t="shared" ca="1" si="155"/>
        <v>9.5316948009223257</v>
      </c>
      <c r="G364" s="306">
        <f t="shared" ca="1" si="156"/>
        <v>22.926203564015232</v>
      </c>
      <c r="H364" s="307">
        <f t="shared" ca="1" si="157"/>
        <v>-22.591004522842645</v>
      </c>
      <c r="I364" s="304">
        <f t="shared" ca="1" si="158"/>
        <v>32.18639922715434</v>
      </c>
      <c r="J364" s="306">
        <f t="shared" ca="1" si="159"/>
        <v>488.87045158933643</v>
      </c>
      <c r="K364" s="307">
        <f t="shared" ca="1" si="160"/>
        <v>1309.7611359770096</v>
      </c>
      <c r="L364" s="304">
        <f t="shared" ca="1" si="145"/>
        <v>1398.0230869885336</v>
      </c>
      <c r="M364" s="306">
        <f t="shared" ca="1" si="161"/>
        <v>-0.77803406977281975</v>
      </c>
      <c r="N364" s="304">
        <f t="shared" ca="1" si="162"/>
        <v>-44.578068515369587</v>
      </c>
      <c r="P364" s="310">
        <f t="shared" ca="1" si="163"/>
        <v>23</v>
      </c>
      <c r="Q364" s="304">
        <f t="shared" ca="1" si="164"/>
        <v>0</v>
      </c>
      <c r="R364" s="306">
        <f t="shared" ca="1" si="165"/>
        <v>0</v>
      </c>
      <c r="S364" s="307">
        <f t="shared" ca="1" si="166"/>
        <v>8.0499999999999989</v>
      </c>
      <c r="T364" s="304">
        <f t="shared" ca="1" si="146"/>
        <v>78.970499999999987</v>
      </c>
      <c r="U364" s="311">
        <f t="shared" ca="1" si="147"/>
        <v>0</v>
      </c>
      <c r="V364" s="306">
        <f t="shared" ca="1" si="148"/>
        <v>1.0744157319423868</v>
      </c>
      <c r="W364" s="304">
        <f t="shared" ca="1" si="149"/>
        <v>3.4585927995714236</v>
      </c>
      <c r="Y364" s="314" t="str">
        <f t="shared" ca="1" si="167"/>
        <v/>
      </c>
      <c r="Z364" s="315" t="str">
        <f t="shared" ca="1" si="168"/>
        <v/>
      </c>
      <c r="AA364" s="316" t="str">
        <f t="shared" ca="1" si="169"/>
        <v/>
      </c>
      <c r="AC364" s="310">
        <f t="shared" ca="1" si="170"/>
        <v>17.999999999999989</v>
      </c>
      <c r="AD364" s="323">
        <f t="shared" ca="1" si="171"/>
        <v>488.87045158933643</v>
      </c>
      <c r="AE364" s="324" t="e">
        <f t="shared" ca="1" si="150"/>
        <v>#N/A</v>
      </c>
      <c r="AG364" s="306">
        <f t="shared" ca="1" si="172"/>
        <v>6.3161323569321235</v>
      </c>
      <c r="AH364" s="304">
        <f t="shared" ca="1" si="173"/>
        <v>-0.41264332459830172</v>
      </c>
    </row>
    <row r="365" spans="1:34" x14ac:dyDescent="0.3">
      <c r="A365" s="347">
        <f t="shared" ca="1" si="151"/>
        <v>0.1</v>
      </c>
      <c r="B365" s="304">
        <f t="shared" ca="1" si="152"/>
        <v>18.099999999999991</v>
      </c>
      <c r="D365" s="306">
        <f t="shared" ca="1" si="153"/>
        <v>-0.30602950728136741</v>
      </c>
      <c r="E365" s="307">
        <f t="shared" ca="1" si="154"/>
        <v>-9.5084448836540876</v>
      </c>
      <c r="F365" s="304">
        <f t="shared" ca="1" si="155"/>
        <v>9.5133683921529322</v>
      </c>
      <c r="G365" s="306">
        <f t="shared" ca="1" si="156"/>
        <v>22.895600613287094</v>
      </c>
      <c r="H365" s="307">
        <f t="shared" ca="1" si="157"/>
        <v>-23.541849011208054</v>
      </c>
      <c r="I365" s="304">
        <f t="shared" ca="1" si="158"/>
        <v>32.839415072587244</v>
      </c>
      <c r="J365" s="306">
        <f t="shared" ca="1" si="159"/>
        <v>491.16154179820154</v>
      </c>
      <c r="K365" s="307">
        <f t="shared" ca="1" si="160"/>
        <v>1307.4544933003071</v>
      </c>
      <c r="L365" s="304">
        <f t="shared" ca="1" si="145"/>
        <v>1396.6663567913238</v>
      </c>
      <c r="M365" s="306">
        <f t="shared" ca="1" si="161"/>
        <v>-0.79931380020270104</v>
      </c>
      <c r="N365" s="304">
        <f t="shared" ca="1" si="162"/>
        <v>-45.797307258177895</v>
      </c>
      <c r="P365" s="310">
        <f t="shared" ca="1" si="163"/>
        <v>23</v>
      </c>
      <c r="Q365" s="304">
        <f t="shared" ca="1" si="164"/>
        <v>0</v>
      </c>
      <c r="R365" s="306">
        <f t="shared" ca="1" si="165"/>
        <v>0</v>
      </c>
      <c r="S365" s="307">
        <f t="shared" ca="1" si="166"/>
        <v>8.0499999999999989</v>
      </c>
      <c r="T365" s="304">
        <f t="shared" ca="1" si="146"/>
        <v>78.970499999999987</v>
      </c>
      <c r="U365" s="311">
        <f t="shared" ca="1" si="147"/>
        <v>0</v>
      </c>
      <c r="V365" s="306">
        <f t="shared" ca="1" si="148"/>
        <v>1.0746646556446737</v>
      </c>
      <c r="W365" s="304">
        <f t="shared" ca="1" si="149"/>
        <v>3.6011903546627901</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6.4558084029479872</v>
      </c>
      <c r="AH365" s="304">
        <f t="shared" ca="1" si="173"/>
        <v>-0.42963885708961791</v>
      </c>
    </row>
    <row r="366" spans="1:34" x14ac:dyDescent="0.3">
      <c r="A366" s="347">
        <f t="shared" ca="1" si="151"/>
        <v>0.1</v>
      </c>
      <c r="B366" s="304">
        <f t="shared" ca="1" si="152"/>
        <v>18.199999999999992</v>
      </c>
      <c r="D366" s="306">
        <f t="shared" ca="1" si="153"/>
        <v>-0.31189386030024924</v>
      </c>
      <c r="E366" s="307">
        <f t="shared" ca="1" si="154"/>
        <v>-9.4893026620821583</v>
      </c>
      <c r="F366" s="304">
        <f t="shared" ca="1" si="155"/>
        <v>9.4944269333484534</v>
      </c>
      <c r="G366" s="306">
        <f t="shared" ca="1" si="156"/>
        <v>22.864411227257069</v>
      </c>
      <c r="H366" s="307">
        <f t="shared" ca="1" si="157"/>
        <v>-24.490779277416269</v>
      </c>
      <c r="I366" s="304">
        <f t="shared" ca="1" si="158"/>
        <v>33.504918599874877</v>
      </c>
      <c r="J366" s="306">
        <f t="shared" ca="1" si="159"/>
        <v>493.44954239022877</v>
      </c>
      <c r="K366" s="307">
        <f t="shared" ca="1" si="160"/>
        <v>1305.0528618858759</v>
      </c>
      <c r="L366" s="304">
        <f t="shared" ca="1" si="145"/>
        <v>1395.2259398397241</v>
      </c>
      <c r="M366" s="306">
        <f t="shared" ca="1" si="161"/>
        <v>-0.81972869917588842</v>
      </c>
      <c r="N366" s="304">
        <f t="shared" ca="1" si="162"/>
        <v>-46.966994808527488</v>
      </c>
      <c r="P366" s="310">
        <f t="shared" ca="1" si="163"/>
        <v>23</v>
      </c>
      <c r="Q366" s="304">
        <f t="shared" ca="1" si="164"/>
        <v>0</v>
      </c>
      <c r="R366" s="306">
        <f t="shared" ca="1" si="165"/>
        <v>0</v>
      </c>
      <c r="S366" s="307">
        <f t="shared" ca="1" si="166"/>
        <v>8.0499999999999989</v>
      </c>
      <c r="T366" s="304">
        <f t="shared" ca="1" si="146"/>
        <v>78.970499999999987</v>
      </c>
      <c r="U366" s="311">
        <f t="shared" ca="1" si="147"/>
        <v>0</v>
      </c>
      <c r="V366" s="306">
        <f t="shared" ca="1" si="148"/>
        <v>1.0749238874295206</v>
      </c>
      <c r="W366" s="304">
        <f t="shared" ca="1" si="149"/>
        <v>3.7495326095434454</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6.5852187913584661</v>
      </c>
      <c r="AH366" s="304">
        <f t="shared" ca="1" si="173"/>
        <v>-0.4473528390885454</v>
      </c>
    </row>
    <row r="367" spans="1:34" x14ac:dyDescent="0.3">
      <c r="A367" s="347">
        <f t="shared" ca="1" si="151"/>
        <v>0.1</v>
      </c>
      <c r="B367" s="304">
        <f t="shared" ca="1" si="152"/>
        <v>18.299999999999994</v>
      </c>
      <c r="D367" s="306">
        <f t="shared" ca="1" si="153"/>
        <v>-0.3178576805632391</v>
      </c>
      <c r="E367" s="307">
        <f t="shared" ca="1" si="154"/>
        <v>-9.4695327901107014</v>
      </c>
      <c r="F367" s="304">
        <f t="shared" ca="1" si="155"/>
        <v>9.4748659498736352</v>
      </c>
      <c r="G367" s="306">
        <f t="shared" ca="1" si="156"/>
        <v>22.832625459200745</v>
      </c>
      <c r="H367" s="307">
        <f t="shared" ca="1" si="157"/>
        <v>-25.437732556427338</v>
      </c>
      <c r="I367" s="304">
        <f t="shared" ca="1" si="158"/>
        <v>34.181969267034127</v>
      </c>
      <c r="J367" s="306">
        <f t="shared" ca="1" si="159"/>
        <v>495.73439422455164</v>
      </c>
      <c r="K367" s="307">
        <f t="shared" ca="1" si="160"/>
        <v>1302.5564362941836</v>
      </c>
      <c r="L367" s="304">
        <f t="shared" ca="1" si="145"/>
        <v>1393.7022132968675</v>
      </c>
      <c r="M367" s="306">
        <f t="shared" ca="1" si="161"/>
        <v>-0.83931494275225826</v>
      </c>
      <c r="N367" s="304">
        <f t="shared" ca="1" si="162"/>
        <v>-48.089203901968702</v>
      </c>
      <c r="P367" s="310">
        <f t="shared" ca="1" si="163"/>
        <v>23</v>
      </c>
      <c r="Q367" s="304">
        <f t="shared" ca="1" si="164"/>
        <v>0</v>
      </c>
      <c r="R367" s="306">
        <f t="shared" ca="1" si="165"/>
        <v>0</v>
      </c>
      <c r="S367" s="307">
        <f t="shared" ca="1" si="166"/>
        <v>8.0499999999999989</v>
      </c>
      <c r="T367" s="304">
        <f t="shared" ca="1" si="146"/>
        <v>78.970499999999987</v>
      </c>
      <c r="U367" s="311">
        <f t="shared" ca="1" si="147"/>
        <v>0</v>
      </c>
      <c r="V367" s="306">
        <f t="shared" ca="1" si="148"/>
        <v>1.0751934132429457</v>
      </c>
      <c r="W367" s="304">
        <f t="shared" ca="1" si="149"/>
        <v>3.9035796071763453</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6.7049441720940628</v>
      </c>
      <c r="AH367" s="304">
        <f t="shared" ca="1" si="173"/>
        <v>-0.46578044839049015</v>
      </c>
    </row>
    <row r="368" spans="1:34" x14ac:dyDescent="0.3">
      <c r="A368" s="347">
        <f t="shared" ca="1" si="151"/>
        <v>0.1</v>
      </c>
      <c r="B368" s="304">
        <f t="shared" ca="1" si="152"/>
        <v>18.399999999999995</v>
      </c>
      <c r="D368" s="306">
        <f t="shared" ca="1" si="153"/>
        <v>-0.32391117644126416</v>
      </c>
      <c r="E368" s="307">
        <f t="shared" ca="1" si="154"/>
        <v>-9.449131912662704</v>
      </c>
      <c r="F368" s="304">
        <f t="shared" ca="1" si="155"/>
        <v>9.4546820334226105</v>
      </c>
      <c r="G368" s="306">
        <f t="shared" ca="1" si="156"/>
        <v>22.800234341556617</v>
      </c>
      <c r="H368" s="307">
        <f t="shared" ca="1" si="157"/>
        <v>-26.382645747693608</v>
      </c>
      <c r="I368" s="304">
        <f t="shared" ca="1" si="158"/>
        <v>34.8696814249599</v>
      </c>
      <c r="J368" s="306">
        <f t="shared" ca="1" si="159"/>
        <v>498.01603721458952</v>
      </c>
      <c r="K368" s="307">
        <f t="shared" ca="1" si="160"/>
        <v>1299.9654173789777</v>
      </c>
      <c r="L368" s="304">
        <f t="shared" ca="1" si="145"/>
        <v>1392.0955641421401</v>
      </c>
      <c r="M368" s="306">
        <f t="shared" ca="1" si="161"/>
        <v>-0.8581083431345693</v>
      </c>
      <c r="N368" s="304">
        <f t="shared" ca="1" si="162"/>
        <v>-49.165986426574669</v>
      </c>
      <c r="P368" s="310">
        <f t="shared" ca="1" si="163"/>
        <v>23</v>
      </c>
      <c r="Q368" s="304">
        <f t="shared" ca="1" si="164"/>
        <v>0</v>
      </c>
      <c r="R368" s="306">
        <f t="shared" ca="1" si="165"/>
        <v>0</v>
      </c>
      <c r="S368" s="307">
        <f t="shared" ca="1" si="166"/>
        <v>8.0499999999999989</v>
      </c>
      <c r="T368" s="304">
        <f t="shared" ca="1" si="146"/>
        <v>78.970499999999987</v>
      </c>
      <c r="U368" s="311">
        <f t="shared" ca="1" si="147"/>
        <v>0</v>
      </c>
      <c r="V368" s="306">
        <f t="shared" ca="1" si="148"/>
        <v>1.0754732186100231</v>
      </c>
      <c r="W368" s="304">
        <f t="shared" ca="1" si="149"/>
        <v>4.0632902484298574</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6.8155449468402773</v>
      </c>
      <c r="AH368" s="304">
        <f t="shared" ca="1" si="173"/>
        <v>-0.48491672138836595</v>
      </c>
    </row>
    <row r="369" spans="1:34" x14ac:dyDescent="0.3">
      <c r="A369" s="347">
        <f t="shared" ca="1" si="151"/>
        <v>0.1</v>
      </c>
      <c r="B369" s="304">
        <f t="shared" ca="1" si="152"/>
        <v>18.499999999999996</v>
      </c>
      <c r="D369" s="306">
        <f t="shared" ca="1" si="153"/>
        <v>-0.33004510550182298</v>
      </c>
      <c r="E369" s="307">
        <f t="shared" ca="1" si="154"/>
        <v>-9.4280976489638899</v>
      </c>
      <c r="F369" s="304">
        <f t="shared" ca="1" si="155"/>
        <v>9.4338727493041876</v>
      </c>
      <c r="G369" s="306">
        <f t="shared" ca="1" si="156"/>
        <v>22.767229831006436</v>
      </c>
      <c r="H369" s="307">
        <f t="shared" ca="1" si="157"/>
        <v>-27.325455512589997</v>
      </c>
      <c r="I369" s="304">
        <f t="shared" ca="1" si="158"/>
        <v>35.567221892472915</v>
      </c>
      <c r="J369" s="306">
        <f t="shared" ca="1" si="159"/>
        <v>500.29441042321764</v>
      </c>
      <c r="K369" s="307">
        <f t="shared" ca="1" si="160"/>
        <v>1297.2800123159634</v>
      </c>
      <c r="L369" s="304">
        <f t="shared" ca="1" si="145"/>
        <v>1390.4063893176058</v>
      </c>
      <c r="M369" s="306">
        <f t="shared" ca="1" si="161"/>
        <v>-0.87614408203566685</v>
      </c>
      <c r="N369" s="304">
        <f t="shared" ca="1" si="162"/>
        <v>-50.199358146007476</v>
      </c>
      <c r="P369" s="310">
        <f t="shared" ca="1" si="163"/>
        <v>23</v>
      </c>
      <c r="Q369" s="304">
        <f t="shared" ca="1" si="164"/>
        <v>0</v>
      </c>
      <c r="R369" s="306">
        <f t="shared" ca="1" si="165"/>
        <v>0</v>
      </c>
      <c r="S369" s="307">
        <f t="shared" ca="1" si="166"/>
        <v>8.0499999999999989</v>
      </c>
      <c r="T369" s="304">
        <f t="shared" ca="1" si="146"/>
        <v>78.970499999999987</v>
      </c>
      <c r="U369" s="311">
        <f t="shared" ca="1" si="147"/>
        <v>0</v>
      </c>
      <c r="V369" s="306">
        <f t="shared" ca="1" si="148"/>
        <v>1.0757632886295283</v>
      </c>
      <c r="W369" s="304">
        <f t="shared" ca="1" si="149"/>
        <v>4.2286222911082261</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6.9175583125887208</v>
      </c>
      <c r="AH369" s="304">
        <f t="shared" ca="1" si="173"/>
        <v>-0.50475655259998231</v>
      </c>
    </row>
    <row r="370" spans="1:34" x14ac:dyDescent="0.3">
      <c r="A370" s="347">
        <f t="shared" ca="1" si="151"/>
        <v>0.1</v>
      </c>
      <c r="B370" s="304">
        <f t="shared" ca="1" si="152"/>
        <v>18.599999999999998</v>
      </c>
      <c r="D370" s="306">
        <f t="shared" ca="1" si="153"/>
        <v>-0.33625075008471922</v>
      </c>
      <c r="E370" s="307">
        <f t="shared" ca="1" si="154"/>
        <v>-9.4064285079600811</v>
      </c>
      <c r="F370" s="304">
        <f t="shared" ca="1" si="155"/>
        <v>9.4124365518337836</v>
      </c>
      <c r="G370" s="306">
        <f t="shared" ca="1" si="156"/>
        <v>22.733604755997963</v>
      </c>
      <c r="H370" s="307">
        <f t="shared" ca="1" si="157"/>
        <v>-28.266098363386003</v>
      </c>
      <c r="I370" s="304">
        <f t="shared" ca="1" si="158"/>
        <v>36.273807380678228</v>
      </c>
      <c r="J370" s="306">
        <f t="shared" ca="1" si="159"/>
        <v>502.56945215256786</v>
      </c>
      <c r="K370" s="307">
        <f t="shared" ca="1" si="160"/>
        <v>1294.5004346221647</v>
      </c>
      <c r="L370" s="304">
        <f t="shared" ca="1" si="145"/>
        <v>1388.6350958671271</v>
      </c>
      <c r="M370" s="306">
        <f t="shared" ca="1" si="161"/>
        <v>-0.89345650312494085</v>
      </c>
      <c r="N370" s="304">
        <f t="shared" ca="1" si="162"/>
        <v>-51.191286807576155</v>
      </c>
      <c r="P370" s="310">
        <f t="shared" ca="1" si="163"/>
        <v>23</v>
      </c>
      <c r="Q370" s="304">
        <f t="shared" ca="1" si="164"/>
        <v>0</v>
      </c>
      <c r="R370" s="306">
        <f t="shared" ca="1" si="165"/>
        <v>0</v>
      </c>
      <c r="S370" s="307">
        <f t="shared" ca="1" si="166"/>
        <v>8.0499999999999989</v>
      </c>
      <c r="T370" s="304">
        <f t="shared" ca="1" si="146"/>
        <v>78.970499999999987</v>
      </c>
      <c r="U370" s="311">
        <f t="shared" ca="1" si="147"/>
        <v>0</v>
      </c>
      <c r="V370" s="306">
        <f t="shared" ca="1" si="148"/>
        <v>1.0760636079695112</v>
      </c>
      <c r="W370" s="304">
        <f t="shared" ca="1" si="149"/>
        <v>4.399532351576898</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7.0114963258170739</v>
      </c>
      <c r="AH370" s="304">
        <f t="shared" ca="1" si="173"/>
        <v>-0.5252946945476058</v>
      </c>
    </row>
    <row r="371" spans="1:34" x14ac:dyDescent="0.3">
      <c r="A371" s="347">
        <f t="shared" ca="1" si="151"/>
        <v>0.1</v>
      </c>
      <c r="B371" s="304">
        <f t="shared" ca="1" si="152"/>
        <v>18.7</v>
      </c>
      <c r="D371" s="306">
        <f t="shared" ca="1" si="153"/>
        <v>-0.34251989155816681</v>
      </c>
      <c r="E371" s="307">
        <f t="shared" ca="1" si="154"/>
        <v>-9.3841238114186432</v>
      </c>
      <c r="F371" s="304">
        <f t="shared" ca="1" si="155"/>
        <v>9.3903727074140875</v>
      </c>
      <c r="G371" s="306">
        <f t="shared" ca="1" si="156"/>
        <v>22.699352766842146</v>
      </c>
      <c r="H371" s="307">
        <f t="shared" ca="1" si="157"/>
        <v>-29.204510744527866</v>
      </c>
      <c r="I371" s="304">
        <f t="shared" ca="1" si="158"/>
        <v>36.988701840707897</v>
      </c>
      <c r="J371" s="306">
        <f t="shared" ca="1" si="159"/>
        <v>504.84110002870989</v>
      </c>
      <c r="K371" s="307">
        <f t="shared" ca="1" si="160"/>
        <v>1291.626904166769</v>
      </c>
      <c r="L371" s="304">
        <f t="shared" ca="1" si="145"/>
        <v>1386.7821010691007</v>
      </c>
      <c r="M371" s="306">
        <f t="shared" ca="1" si="161"/>
        <v>-0.91007895484968948</v>
      </c>
      <c r="N371" s="304">
        <f t="shared" ca="1" si="162"/>
        <v>-52.143683136564213</v>
      </c>
      <c r="P371" s="310">
        <f t="shared" ca="1" si="163"/>
        <v>23</v>
      </c>
      <c r="Q371" s="304">
        <f t="shared" ca="1" si="164"/>
        <v>0</v>
      </c>
      <c r="R371" s="306">
        <f t="shared" ca="1" si="165"/>
        <v>0</v>
      </c>
      <c r="S371" s="307">
        <f t="shared" ca="1" si="166"/>
        <v>8.0499999999999989</v>
      </c>
      <c r="T371" s="304">
        <f t="shared" ca="1" si="146"/>
        <v>78.970499999999987</v>
      </c>
      <c r="U371" s="311">
        <f t="shared" ca="1" si="147"/>
        <v>0</v>
      </c>
      <c r="V371" s="306">
        <f t="shared" ca="1" si="148"/>
        <v>1.0763741608637105</v>
      </c>
      <c r="W371" s="304">
        <f t="shared" ca="1" si="149"/>
        <v>4.575975908763251</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7.097844793903394</v>
      </c>
      <c r="AH371" s="304">
        <f t="shared" ca="1" si="173"/>
        <v>-0.54652575795986313</v>
      </c>
    </row>
    <row r="372" spans="1:34" x14ac:dyDescent="0.3">
      <c r="A372" s="347">
        <f t="shared" ca="1" si="151"/>
        <v>0.1</v>
      </c>
      <c r="B372" s="304">
        <f t="shared" ca="1" si="152"/>
        <v>18.8</v>
      </c>
      <c r="D372" s="306">
        <f t="shared" ca="1" si="153"/>
        <v>-0.34884478395932217</v>
      </c>
      <c r="E372" s="307">
        <f t="shared" ca="1" si="154"/>
        <v>-9.3611836242223472</v>
      </c>
      <c r="F372" s="304">
        <f t="shared" ca="1" si="155"/>
        <v>9.3676812248124808</v>
      </c>
      <c r="G372" s="306">
        <f t="shared" ca="1" si="156"/>
        <v>22.664468288446216</v>
      </c>
      <c r="H372" s="307">
        <f t="shared" ca="1" si="157"/>
        <v>-30.140629106950101</v>
      </c>
      <c r="I372" s="304">
        <f t="shared" ca="1" si="158"/>
        <v>37.711213793256661</v>
      </c>
      <c r="J372" s="306">
        <f t="shared" ca="1" si="159"/>
        <v>507.10929108147428</v>
      </c>
      <c r="K372" s="307">
        <f t="shared" ca="1" si="160"/>
        <v>1288.659647174195</v>
      </c>
      <c r="L372" s="304">
        <f t="shared" ca="1" si="145"/>
        <v>1384.8478325636634</v>
      </c>
      <c r="M372" s="306">
        <f t="shared" ca="1" si="161"/>
        <v>-0.92604367571058599</v>
      </c>
      <c r="N372" s="304">
        <f t="shared" ca="1" si="162"/>
        <v>-53.058394262998043</v>
      </c>
      <c r="P372" s="310">
        <f t="shared" ca="1" si="163"/>
        <v>23</v>
      </c>
      <c r="Q372" s="304">
        <f t="shared" ca="1" si="164"/>
        <v>0</v>
      </c>
      <c r="R372" s="306">
        <f t="shared" ca="1" si="165"/>
        <v>0</v>
      </c>
      <c r="S372" s="307">
        <f t="shared" ca="1" si="166"/>
        <v>8.0499999999999989</v>
      </c>
      <c r="T372" s="304">
        <f t="shared" ca="1" si="146"/>
        <v>78.970499999999987</v>
      </c>
      <c r="U372" s="311">
        <f t="shared" ca="1" si="147"/>
        <v>0</v>
      </c>
      <c r="V372" s="306">
        <f t="shared" ca="1" si="148"/>
        <v>1.076694931108739</v>
      </c>
      <c r="W372" s="304">
        <f t="shared" ca="1" si="149"/>
        <v>4.7579073103325999</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7.1770628249237785</v>
      </c>
      <c r="AH372" s="304">
        <f t="shared" ca="1" si="173"/>
        <v>-0.56844421226872688</v>
      </c>
    </row>
    <row r="373" spans="1:34" x14ac:dyDescent="0.3">
      <c r="A373" s="347">
        <f t="shared" ca="1" si="151"/>
        <v>0.1</v>
      </c>
      <c r="B373" s="304">
        <f t="shared" ca="1" si="152"/>
        <v>18.900000000000002</v>
      </c>
      <c r="D373" s="306">
        <f t="shared" ca="1" si="153"/>
        <v>-0.35521812757176996</v>
      </c>
      <c r="E373" s="307">
        <f t="shared" ca="1" si="154"/>
        <v>-9.3376086913248297</v>
      </c>
      <c r="F373" s="304">
        <f t="shared" ca="1" si="155"/>
        <v>9.3443627921041568</v>
      </c>
      <c r="G373" s="306">
        <f t="shared" ca="1" si="156"/>
        <v>22.628946475689037</v>
      </c>
      <c r="H373" s="307">
        <f t="shared" ca="1" si="157"/>
        <v>-31.074389976082585</v>
      </c>
      <c r="I373" s="304">
        <f t="shared" ca="1" si="158"/>
        <v>38.44069368501642</v>
      </c>
      <c r="J373" s="306">
        <f t="shared" ca="1" si="159"/>
        <v>509.37396181968103</v>
      </c>
      <c r="K373" s="307">
        <f t="shared" ca="1" si="160"/>
        <v>1285.5988962200433</v>
      </c>
      <c r="L373" s="304">
        <f t="shared" ca="1" si="145"/>
        <v>1382.8327284751658</v>
      </c>
      <c r="M373" s="306">
        <f t="shared" ca="1" si="161"/>
        <v>-0.9413817149164635</v>
      </c>
      <c r="N373" s="304">
        <f t="shared" ca="1" si="162"/>
        <v>-53.937199175501014</v>
      </c>
      <c r="P373" s="310">
        <f t="shared" ca="1" si="163"/>
        <v>23</v>
      </c>
      <c r="Q373" s="304">
        <f t="shared" ca="1" si="164"/>
        <v>0</v>
      </c>
      <c r="R373" s="306">
        <f t="shared" ca="1" si="165"/>
        <v>0</v>
      </c>
      <c r="S373" s="307">
        <f t="shared" ca="1" si="166"/>
        <v>8.0499999999999989</v>
      </c>
      <c r="T373" s="304">
        <f t="shared" ca="1" si="146"/>
        <v>78.970499999999987</v>
      </c>
      <c r="U373" s="311">
        <f t="shared" ca="1" si="147"/>
        <v>0</v>
      </c>
      <c r="V373" s="306">
        <f t="shared" ca="1" si="148"/>
        <v>1.0770259020619599</v>
      </c>
      <c r="W373" s="304">
        <f t="shared" ca="1" si="149"/>
        <v>4.9452797808572759</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7.2495828912330094</v>
      </c>
      <c r="AH373" s="304">
        <f t="shared" ca="1" si="173"/>
        <v>-0.59104438637672052</v>
      </c>
    </row>
    <row r="374" spans="1:34" x14ac:dyDescent="0.3">
      <c r="A374" s="347">
        <f t="shared" ca="1" si="151"/>
        <v>0.1</v>
      </c>
      <c r="B374" s="304">
        <f t="shared" ca="1" si="152"/>
        <v>19.000000000000004</v>
      </c>
      <c r="D374" s="306">
        <f t="shared" ca="1" si="153"/>
        <v>-0.36163304286415271</v>
      </c>
      <c r="E374" s="307">
        <f t="shared" ca="1" si="154"/>
        <v>-9.3134003808232571</v>
      </c>
      <c r="F374" s="304">
        <f t="shared" ca="1" si="155"/>
        <v>9.3204187197362529</v>
      </c>
      <c r="G374" s="306">
        <f t="shared" ca="1" si="156"/>
        <v>22.592783171402623</v>
      </c>
      <c r="H374" s="307">
        <f t="shared" ca="1" si="157"/>
        <v>-32.005730014164911</v>
      </c>
      <c r="I374" s="304">
        <f t="shared" ca="1" si="158"/>
        <v>39.176531305995304</v>
      </c>
      <c r="J374" s="306">
        <f t="shared" ca="1" si="159"/>
        <v>511.63504830203561</v>
      </c>
      <c r="K374" s="307">
        <f t="shared" ca="1" si="160"/>
        <v>1282.4448902205311</v>
      </c>
      <c r="L374" s="304">
        <f t="shared" ca="1" si="145"/>
        <v>1380.7372375306522</v>
      </c>
      <c r="M374" s="306">
        <f t="shared" ca="1" si="161"/>
        <v>-0.95612288219552632</v>
      </c>
      <c r="N374" s="304">
        <f t="shared" ca="1" si="162"/>
        <v>-54.781805845687657</v>
      </c>
      <c r="P374" s="310">
        <f t="shared" ca="1" si="163"/>
        <v>23</v>
      </c>
      <c r="Q374" s="304">
        <f t="shared" ca="1" si="164"/>
        <v>0</v>
      </c>
      <c r="R374" s="306">
        <f t="shared" ca="1" si="165"/>
        <v>0</v>
      </c>
      <c r="S374" s="307">
        <f t="shared" ca="1" si="166"/>
        <v>8.0499999999999989</v>
      </c>
      <c r="T374" s="304">
        <f t="shared" ca="1" si="146"/>
        <v>78.970499999999987</v>
      </c>
      <c r="U374" s="311">
        <f t="shared" ca="1" si="147"/>
        <v>0</v>
      </c>
      <c r="V374" s="306">
        <f t="shared" ca="1" si="148"/>
        <v>1.0773670566399978</v>
      </c>
      <c r="W374" s="304">
        <f t="shared" ca="1" si="149"/>
        <v>5.1380454318131159</v>
      </c>
      <c r="Y374" s="314" t="str">
        <f t="shared" ca="1" si="167"/>
        <v/>
      </c>
      <c r="Z374" s="315" t="str">
        <f t="shared" ca="1" si="168"/>
        <v/>
      </c>
      <c r="AA374" s="316" t="str">
        <f t="shared" ca="1" si="169"/>
        <v/>
      </c>
      <c r="AC374" s="310">
        <f t="shared" ca="1" si="170"/>
        <v>19.000000000000004</v>
      </c>
      <c r="AD374" s="323">
        <f t="shared" ca="1" si="171"/>
        <v>511.63504830203561</v>
      </c>
      <c r="AE374" s="324" t="e">
        <f t="shared" ca="1" si="150"/>
        <v>#N/A</v>
      </c>
      <c r="AG374" s="306">
        <f t="shared" ca="1" si="172"/>
        <v>7.3158112850575723</v>
      </c>
      <c r="AH374" s="304">
        <f t="shared" ca="1" si="173"/>
        <v>-0.61432046967171139</v>
      </c>
    </row>
    <row r="375" spans="1:34" x14ac:dyDescent="0.3">
      <c r="A375" s="347">
        <f t="shared" ca="1" si="151"/>
        <v>0.1</v>
      </c>
      <c r="B375" s="304">
        <f t="shared" ca="1" si="152"/>
        <v>19.100000000000005</v>
      </c>
      <c r="D375" s="306">
        <f t="shared" ca="1" si="153"/>
        <v>-0.36808304510717038</v>
      </c>
      <c r="E375" s="307">
        <f t="shared" ca="1" si="154"/>
        <v>-9.2885606326092844</v>
      </c>
      <c r="F375" s="304">
        <f t="shared" ca="1" si="155"/>
        <v>9.295850889173856</v>
      </c>
      <c r="G375" s="306">
        <f t="shared" ca="1" si="156"/>
        <v>22.555974866891905</v>
      </c>
      <c r="H375" s="307">
        <f t="shared" ca="1" si="157"/>
        <v>-32.934586077425841</v>
      </c>
      <c r="I375" s="304">
        <f t="shared" ca="1" si="158"/>
        <v>39.918153292546378</v>
      </c>
      <c r="J375" s="306">
        <f t="shared" ca="1" si="159"/>
        <v>513.89248620395028</v>
      </c>
      <c r="K375" s="307">
        <f t="shared" ca="1" si="160"/>
        <v>1279.1978744159514</v>
      </c>
      <c r="L375" s="304">
        <f t="shared" ca="1" si="145"/>
        <v>1378.5618191750291</v>
      </c>
      <c r="M375" s="306">
        <f t="shared" ca="1" si="161"/>
        <v>-0.97029572136001441</v>
      </c>
      <c r="N375" s="304">
        <f t="shared" ca="1" si="162"/>
        <v>-55.593849713530545</v>
      </c>
      <c r="P375" s="310">
        <f t="shared" ca="1" si="163"/>
        <v>23</v>
      </c>
      <c r="Q375" s="304">
        <f t="shared" ca="1" si="164"/>
        <v>0</v>
      </c>
      <c r="R375" s="306">
        <f t="shared" ca="1" si="165"/>
        <v>0</v>
      </c>
      <c r="S375" s="307">
        <f t="shared" ca="1" si="166"/>
        <v>8.0499999999999989</v>
      </c>
      <c r="T375" s="304">
        <f t="shared" ca="1" si="146"/>
        <v>78.970499999999987</v>
      </c>
      <c r="U375" s="311">
        <f t="shared" ca="1" si="147"/>
        <v>0</v>
      </c>
      <c r="V375" s="306">
        <f t="shared" ca="1" si="148"/>
        <v>1.0777183773178247</v>
      </c>
      <c r="W375" s="304">
        <f t="shared" ca="1" si="149"/>
        <v>5.3361552732528388</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7.3761288650916255</v>
      </c>
      <c r="AH375" s="304">
        <f t="shared" ca="1" si="173"/>
        <v>-0.63826651326871009</v>
      </c>
    </row>
    <row r="376" spans="1:34" x14ac:dyDescent="0.3">
      <c r="A376" s="347">
        <f t="shared" ca="1" si="151"/>
        <v>0.1</v>
      </c>
      <c r="B376" s="304">
        <f t="shared" ca="1" si="152"/>
        <v>19.200000000000006</v>
      </c>
      <c r="D376" s="306">
        <f t="shared" ca="1" si="153"/>
        <v>-0.37456201989830401</v>
      </c>
      <c r="E376" s="307">
        <f t="shared" ca="1" si="154"/>
        <v>-9.2630919120777051</v>
      </c>
      <c r="F376" s="304">
        <f t="shared" ca="1" si="155"/>
        <v>9.2706617066070152</v>
      </c>
      <c r="G376" s="306">
        <f t="shared" ca="1" si="156"/>
        <v>22.518518664902075</v>
      </c>
      <c r="H376" s="307">
        <f t="shared" ca="1" si="157"/>
        <v>-33.860895268633612</v>
      </c>
      <c r="I376" s="304">
        <f t="shared" ca="1" si="158"/>
        <v>40.665020733486877</v>
      </c>
      <c r="J376" s="306">
        <f t="shared" ca="1" si="159"/>
        <v>516.14621088054002</v>
      </c>
      <c r="K376" s="307">
        <f t="shared" ca="1" si="160"/>
        <v>1275.8581003486486</v>
      </c>
      <c r="L376" s="304">
        <f t="shared" ca="1" si="145"/>
        <v>1376.3069436835669</v>
      </c>
      <c r="M376" s="306">
        <f t="shared" ca="1" si="161"/>
        <v>-0.98392750298566645</v>
      </c>
      <c r="N376" s="304">
        <f t="shared" ca="1" si="162"/>
        <v>-56.374893267924392</v>
      </c>
      <c r="P376" s="310">
        <f t="shared" ca="1" si="163"/>
        <v>23</v>
      </c>
      <c r="Q376" s="304">
        <f t="shared" ca="1" si="164"/>
        <v>0</v>
      </c>
      <c r="R376" s="306">
        <f t="shared" ca="1" si="165"/>
        <v>0</v>
      </c>
      <c r="S376" s="307">
        <f t="shared" ca="1" si="166"/>
        <v>8.0499999999999989</v>
      </c>
      <c r="T376" s="304">
        <f t="shared" ca="1" si="146"/>
        <v>78.970499999999987</v>
      </c>
      <c r="U376" s="311">
        <f t="shared" ca="1" si="147"/>
        <v>0</v>
      </c>
      <c r="V376" s="306">
        <f t="shared" ca="1" si="148"/>
        <v>1.0780798461283703</v>
      </c>
      <c r="W376" s="304">
        <f t="shared" ca="1" si="149"/>
        <v>5.5395592270193399</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7.4308920114773676</v>
      </c>
      <c r="AH376" s="304">
        <f t="shared" ca="1" si="173"/>
        <v>-0.6628764314599801</v>
      </c>
    </row>
    <row r="377" spans="1:34" x14ac:dyDescent="0.3">
      <c r="A377" s="347">
        <f t="shared" ca="1" si="151"/>
        <v>0.1</v>
      </c>
      <c r="B377" s="304">
        <f t="shared" ca="1" si="152"/>
        <v>19.300000000000008</v>
      </c>
      <c r="D377" s="306">
        <f t="shared" ca="1" si="153"/>
        <v>-0.38106419975243688</v>
      </c>
      <c r="E377" s="307">
        <f t="shared" ca="1" si="154"/>
        <v>-9.2369971683992631</v>
      </c>
      <c r="F377" s="304">
        <f t="shared" ca="1" si="155"/>
        <v>9.2448540612250323</v>
      </c>
      <c r="G377" s="306">
        <f t="shared" ca="1" si="156"/>
        <v>22.480412244926832</v>
      </c>
      <c r="H377" s="307">
        <f t="shared" ca="1" si="157"/>
        <v>-34.784594985473539</v>
      </c>
      <c r="I377" s="304">
        <f t="shared" ca="1" si="158"/>
        <v>41.416626890722128</v>
      </c>
      <c r="J377" s="306">
        <f t="shared" ca="1" si="159"/>
        <v>518.39615742603144</v>
      </c>
      <c r="K377" s="307">
        <f t="shared" ca="1" si="160"/>
        <v>1272.4258258359432</v>
      </c>
      <c r="L377" s="304">
        <f t="shared" ca="1" si="145"/>
        <v>1373.9730922723184</v>
      </c>
      <c r="M377" s="306">
        <f t="shared" ca="1" si="161"/>
        <v>-0.99704423226304006</v>
      </c>
      <c r="N377" s="304">
        <f t="shared" ca="1" si="162"/>
        <v>-57.126426496533583</v>
      </c>
      <c r="P377" s="310">
        <f t="shared" ca="1" si="163"/>
        <v>23</v>
      </c>
      <c r="Q377" s="304">
        <f t="shared" ca="1" si="164"/>
        <v>0</v>
      </c>
      <c r="R377" s="306">
        <f t="shared" ca="1" si="165"/>
        <v>0</v>
      </c>
      <c r="S377" s="307">
        <f t="shared" ca="1" si="166"/>
        <v>8.0499999999999989</v>
      </c>
      <c r="T377" s="304">
        <f t="shared" ca="1" si="146"/>
        <v>78.970499999999987</v>
      </c>
      <c r="U377" s="311">
        <f t="shared" ca="1" si="147"/>
        <v>0</v>
      </c>
      <c r="V377" s="306">
        <f t="shared" ca="1" si="148"/>
        <v>1.0784514446626092</v>
      </c>
      <c r="W377" s="304">
        <f t="shared" ca="1" si="149"/>
        <v>5.7482061413744736</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7.4804337225060138</v>
      </c>
      <c r="AH377" s="304">
        <f t="shared" ca="1" si="173"/>
        <v>-0.68814400335643988</v>
      </c>
    </row>
    <row r="378" spans="1:34" x14ac:dyDescent="0.3">
      <c r="A378" s="347">
        <f t="shared" ca="1" si="151"/>
        <v>0.1</v>
      </c>
      <c r="B378" s="304">
        <f t="shared" ca="1" si="152"/>
        <v>19.400000000000009</v>
      </c>
      <c r="D378" s="306">
        <f t="shared" ca="1" si="153"/>
        <v>-0.38758414185969658</v>
      </c>
      <c r="E378" s="307">
        <f t="shared" ca="1" si="154"/>
        <v>-9.2102797968963248</v>
      </c>
      <c r="F378" s="304">
        <f t="shared" ca="1" si="155"/>
        <v>9.2184312875964807</v>
      </c>
      <c r="G378" s="306">
        <f t="shared" ca="1" si="156"/>
        <v>22.441653830740862</v>
      </c>
      <c r="H378" s="307">
        <f t="shared" ca="1" si="157"/>
        <v>-35.705622965163172</v>
      </c>
      <c r="I378" s="304">
        <f t="shared" ca="1" si="158"/>
        <v>42.172495041071421</v>
      </c>
      <c r="J378" s="306">
        <f t="shared" ca="1" si="159"/>
        <v>520.64226072981478</v>
      </c>
      <c r="K378" s="307">
        <f t="shared" ca="1" si="160"/>
        <v>1268.9013149384114</v>
      </c>
      <c r="L378" s="304">
        <f t="shared" ca="1" si="145"/>
        <v>1371.5607572070155</v>
      </c>
      <c r="M378" s="306">
        <f t="shared" ca="1" si="161"/>
        <v>-1.0096706686993424</v>
      </c>
      <c r="N378" s="304">
        <f t="shared" ca="1" si="162"/>
        <v>-57.849868014623915</v>
      </c>
      <c r="P378" s="310">
        <f t="shared" ca="1" si="163"/>
        <v>23</v>
      </c>
      <c r="Q378" s="304">
        <f t="shared" ca="1" si="164"/>
        <v>0</v>
      </c>
      <c r="R378" s="306">
        <f t="shared" ca="1" si="165"/>
        <v>0</v>
      </c>
      <c r="S378" s="307">
        <f t="shared" ca="1" si="166"/>
        <v>8.0499999999999989</v>
      </c>
      <c r="T378" s="304">
        <f t="shared" ca="1" si="146"/>
        <v>78.970499999999987</v>
      </c>
      <c r="U378" s="311">
        <f t="shared" ca="1" si="147"/>
        <v>0</v>
      </c>
      <c r="V378" s="306">
        <f t="shared" ca="1" si="148"/>
        <v>1.078833154070088</v>
      </c>
      <c r="W378" s="304">
        <f t="shared" ca="1" si="149"/>
        <v>5.9620438069299286</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7.5250647999811546</v>
      </c>
      <c r="AH378" s="304">
        <f t="shared" ca="1" si="173"/>
        <v>-0.71406287470490359</v>
      </c>
    </row>
    <row r="379" spans="1:34" x14ac:dyDescent="0.3">
      <c r="A379" s="347">
        <f t="shared" ca="1" si="151"/>
        <v>0.1</v>
      </c>
      <c r="B379" s="304">
        <f t="shared" ca="1" si="152"/>
        <v>19.500000000000011</v>
      </c>
      <c r="D379" s="306">
        <f t="shared" ca="1" si="153"/>
        <v>-0.39411670706706747</v>
      </c>
      <c r="E379" s="307">
        <f t="shared" ca="1" si="154"/>
        <v>-9.1829436050950886</v>
      </c>
      <c r="F379" s="304">
        <f t="shared" ca="1" si="155"/>
        <v>9.1913971317284595</v>
      </c>
      <c r="G379" s="306">
        <f t="shared" ca="1" si="156"/>
        <v>22.402242160034156</v>
      </c>
      <c r="H379" s="307">
        <f t="shared" ca="1" si="157"/>
        <v>-36.623917325672679</v>
      </c>
      <c r="I379" s="304">
        <f t="shared" ca="1" si="158"/>
        <v>42.932176442320262</v>
      </c>
      <c r="J379" s="306">
        <f t="shared" ca="1" si="159"/>
        <v>522.88445552935354</v>
      </c>
      <c r="K379" s="307">
        <f t="shared" ca="1" si="160"/>
        <v>1265.2848379238696</v>
      </c>
      <c r="L379" s="304">
        <f t="shared" ca="1" si="145"/>
        <v>1369.0704419109563</v>
      </c>
      <c r="M379" s="306">
        <f t="shared" ca="1" si="161"/>
        <v>-1.0218303548965835</v>
      </c>
      <c r="N379" s="304">
        <f t="shared" ca="1" si="162"/>
        <v>-58.546566713929309</v>
      </c>
      <c r="P379" s="310">
        <f t="shared" ca="1" si="163"/>
        <v>23</v>
      </c>
      <c r="Q379" s="304">
        <f t="shared" ca="1" si="164"/>
        <v>0</v>
      </c>
      <c r="R379" s="306">
        <f t="shared" ca="1" si="165"/>
        <v>0</v>
      </c>
      <c r="S379" s="307">
        <f t="shared" ca="1" si="166"/>
        <v>8.0499999999999989</v>
      </c>
      <c r="T379" s="304">
        <f t="shared" ca="1" si="146"/>
        <v>78.970499999999987</v>
      </c>
      <c r="U379" s="311">
        <f t="shared" ca="1" si="147"/>
        <v>0</v>
      </c>
      <c r="V379" s="306">
        <f t="shared" ca="1" si="148"/>
        <v>1.0792249550598481</v>
      </c>
      <c r="W379" s="304">
        <f t="shared" ca="1" si="149"/>
        <v>6.1810189737767489</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7.5650750816204377</v>
      </c>
      <c r="AH379" s="304">
        <f t="shared" ca="1" si="173"/>
        <v>-0.74062655986707193</v>
      </c>
    </row>
    <row r="380" spans="1:34" x14ac:dyDescent="0.3">
      <c r="A380" s="347">
        <f t="shared" ca="1" si="151"/>
        <v>0.1</v>
      </c>
      <c r="B380" s="304">
        <f t="shared" ca="1" si="152"/>
        <v>19.600000000000012</v>
      </c>
      <c r="D380" s="306">
        <f t="shared" ca="1" si="153"/>
        <v>-0.40065704010562231</v>
      </c>
      <c r="E380" s="307">
        <f t="shared" ca="1" si="154"/>
        <v>-9.1549927820638004</v>
      </c>
      <c r="F380" s="304">
        <f t="shared" ca="1" si="155"/>
        <v>9.1637557204143363</v>
      </c>
      <c r="G380" s="306">
        <f t="shared" ca="1" si="156"/>
        <v>22.362176456023594</v>
      </c>
      <c r="H380" s="307">
        <f t="shared" ca="1" si="157"/>
        <v>-37.539416603879062</v>
      </c>
      <c r="I380" s="304">
        <f t="shared" ca="1" si="158"/>
        <v>43.695248423712236</v>
      </c>
      <c r="J380" s="306">
        <f t="shared" ca="1" si="159"/>
        <v>525.12267646015641</v>
      </c>
      <c r="K380" s="307">
        <f t="shared" ca="1" si="160"/>
        <v>1261.5766712273921</v>
      </c>
      <c r="L380" s="304">
        <f t="shared" ca="1" si="145"/>
        <v>1366.5026610723689</v>
      </c>
      <c r="M380" s="306">
        <f t="shared" ca="1" si="161"/>
        <v>-1.0335456521075994</v>
      </c>
      <c r="N380" s="304">
        <f t="shared" ca="1" si="162"/>
        <v>-59.217803799861905</v>
      </c>
      <c r="P380" s="310">
        <f t="shared" ca="1" si="163"/>
        <v>23</v>
      </c>
      <c r="Q380" s="304">
        <f t="shared" ca="1" si="164"/>
        <v>0</v>
      </c>
      <c r="R380" s="306">
        <f t="shared" ca="1" si="165"/>
        <v>0</v>
      </c>
      <c r="S380" s="307">
        <f t="shared" ca="1" si="166"/>
        <v>8.0499999999999989</v>
      </c>
      <c r="T380" s="304">
        <f t="shared" ca="1" si="146"/>
        <v>78.970499999999987</v>
      </c>
      <c r="U380" s="311">
        <f t="shared" ca="1" si="147"/>
        <v>0</v>
      </c>
      <c r="V380" s="306">
        <f t="shared" ca="1" si="148"/>
        <v>1.0796268279017205</v>
      </c>
      <c r="W380" s="304">
        <f t="shared" ca="1" si="149"/>
        <v>6.4050773697191028</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7.6007346883583793</v>
      </c>
      <c r="AH380" s="304">
        <f t="shared" ca="1" si="173"/>
        <v>-0.76782844394742233</v>
      </c>
    </row>
    <row r="381" spans="1:34" x14ac:dyDescent="0.3">
      <c r="A381" s="347">
        <f t="shared" ca="1" si="151"/>
        <v>0.1</v>
      </c>
      <c r="B381" s="304">
        <f t="shared" ca="1" si="152"/>
        <v>19.700000000000014</v>
      </c>
      <c r="D381" s="306">
        <f t="shared" ca="1" si="153"/>
        <v>-0.40720055105882402</v>
      </c>
      <c r="E381" s="307">
        <f t="shared" ca="1" si="154"/>
        <v>-9.1264318706818557</v>
      </c>
      <c r="F381" s="304">
        <f t="shared" ca="1" si="155"/>
        <v>9.1355115335147001</v>
      </c>
      <c r="G381" s="306">
        <f t="shared" ca="1" si="156"/>
        <v>22.321456400917711</v>
      </c>
      <c r="H381" s="307">
        <f t="shared" ca="1" si="157"/>
        <v>-38.452059790947246</v>
      </c>
      <c r="I381" s="304">
        <f t="shared" ca="1" si="158"/>
        <v>44.46131259898489</v>
      </c>
      <c r="J381" s="306">
        <f t="shared" ca="1" si="159"/>
        <v>527.35685810300345</v>
      </c>
      <c r="K381" s="307">
        <f t="shared" ca="1" si="160"/>
        <v>1257.7770974076509</v>
      </c>
      <c r="L381" s="304">
        <f t="shared" ca="1" si="145"/>
        <v>1363.857940751707</v>
      </c>
      <c r="M381" s="306">
        <f t="shared" ca="1" si="161"/>
        <v>-1.0448377806808786</v>
      </c>
      <c r="N381" s="304">
        <f t="shared" ca="1" si="162"/>
        <v>-59.864795108829888</v>
      </c>
      <c r="P381" s="310">
        <f t="shared" ca="1" si="163"/>
        <v>23</v>
      </c>
      <c r="Q381" s="304">
        <f t="shared" ca="1" si="164"/>
        <v>0</v>
      </c>
      <c r="R381" s="306">
        <f t="shared" ca="1" si="165"/>
        <v>0</v>
      </c>
      <c r="S381" s="307">
        <f t="shared" ca="1" si="166"/>
        <v>8.0499999999999989</v>
      </c>
      <c r="T381" s="304">
        <f t="shared" ca="1" si="146"/>
        <v>78.970499999999987</v>
      </c>
      <c r="U381" s="311">
        <f t="shared" ca="1" si="147"/>
        <v>0</v>
      </c>
      <c r="V381" s="306">
        <f t="shared" ca="1" si="148"/>
        <v>1.0800387524279509</v>
      </c>
      <c r="W381" s="304">
        <f t="shared" ca="1" si="149"/>
        <v>6.6341637195257022</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7.6322952621937539</v>
      </c>
      <c r="AH381" s="304">
        <f t="shared" ca="1" si="173"/>
        <v>-0.79566178505827378</v>
      </c>
    </row>
    <row r="382" spans="1:34" x14ac:dyDescent="0.3">
      <c r="A382" s="347">
        <f t="shared" ca="1" si="151"/>
        <v>0.1</v>
      </c>
      <c r="B382" s="304">
        <f t="shared" ca="1" si="152"/>
        <v>19.800000000000015</v>
      </c>
      <c r="D382" s="306">
        <f t="shared" ca="1" si="153"/>
        <v>-0.41374289804766606</v>
      </c>
      <c r="E382" s="307">
        <f t="shared" ca="1" si="154"/>
        <v>-9.0972657425187293</v>
      </c>
      <c r="F382" s="304">
        <f t="shared" ca="1" si="155"/>
        <v>9.1066693788503006</v>
      </c>
      <c r="G382" s="306">
        <f t="shared" ca="1" si="156"/>
        <v>22.280082111112943</v>
      </c>
      <c r="H382" s="307">
        <f t="shared" ca="1" si="157"/>
        <v>-39.361786365199116</v>
      </c>
      <c r="I382" s="304">
        <f t="shared" ca="1" si="158"/>
        <v>45.229993198512751</v>
      </c>
      <c r="J382" s="306">
        <f t="shared" ca="1" si="159"/>
        <v>529.58693502860501</v>
      </c>
      <c r="K382" s="307">
        <f t="shared" ca="1" si="160"/>
        <v>1253.8864050998436</v>
      </c>
      <c r="L382" s="304">
        <f t="shared" ca="1" si="145"/>
        <v>1361.1368184893101</v>
      </c>
      <c r="M382" s="306">
        <f t="shared" ca="1" si="161"/>
        <v>-1.0557268638542603</v>
      </c>
      <c r="N382" s="304">
        <f t="shared" ca="1" si="162"/>
        <v>-60.488693617431579</v>
      </c>
      <c r="P382" s="310">
        <f t="shared" ca="1" si="163"/>
        <v>23</v>
      </c>
      <c r="Q382" s="304">
        <f t="shared" ca="1" si="164"/>
        <v>0</v>
      </c>
      <c r="R382" s="306">
        <f t="shared" ca="1" si="165"/>
        <v>0</v>
      </c>
      <c r="S382" s="307">
        <f t="shared" ca="1" si="166"/>
        <v>8.0499999999999989</v>
      </c>
      <c r="T382" s="304">
        <f t="shared" ca="1" si="146"/>
        <v>78.970499999999987</v>
      </c>
      <c r="U382" s="311">
        <f t="shared" ca="1" si="147"/>
        <v>0</v>
      </c>
      <c r="V382" s="306">
        <f t="shared" ca="1" si="148"/>
        <v>1.0804607080351436</v>
      </c>
      <c r="W382" s="304">
        <f t="shared" ca="1" si="149"/>
        <v>6.8682217651195687</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7.6599911765376376</v>
      </c>
      <c r="AH382" s="304">
        <f t="shared" ca="1" si="173"/>
        <v>-0.82411971671126749</v>
      </c>
    </row>
    <row r="383" spans="1:34" x14ac:dyDescent="0.3">
      <c r="A383" s="347">
        <f t="shared" ca="1" si="151"/>
        <v>0.1</v>
      </c>
      <c r="B383" s="304">
        <f t="shared" ca="1" si="152"/>
        <v>19.900000000000016</v>
      </c>
      <c r="D383" s="306">
        <f t="shared" ca="1" si="153"/>
        <v>-0.42027997109419873</v>
      </c>
      <c r="E383" s="307">
        <f t="shared" ca="1" si="154"/>
        <v>-9.0674995750338585</v>
      </c>
      <c r="F383" s="304">
        <f t="shared" ca="1" si="155"/>
        <v>9.0772343694179298</v>
      </c>
      <c r="G383" s="306">
        <f t="shared" ca="1" si="156"/>
        <v>22.238054114003525</v>
      </c>
      <c r="H383" s="307">
        <f t="shared" ca="1" si="157"/>
        <v>-40.268536322702502</v>
      </c>
      <c r="I383" s="304">
        <f t="shared" ca="1" si="158"/>
        <v>46.000935516032278</v>
      </c>
      <c r="J383" s="306">
        <f t="shared" ca="1" si="159"/>
        <v>531.81284183986088</v>
      </c>
      <c r="K383" s="307">
        <f t="shared" ca="1" si="160"/>
        <v>1249.9048889654484</v>
      </c>
      <c r="L383" s="304">
        <f t="shared" ca="1" si="145"/>
        <v>1358.3398434138339</v>
      </c>
      <c r="M383" s="306">
        <f t="shared" ca="1" si="161"/>
        <v>-1.0662319736530255</v>
      </c>
      <c r="N383" s="304">
        <f t="shared" ca="1" si="162"/>
        <v>-61.09059207222235</v>
      </c>
      <c r="P383" s="310">
        <f t="shared" ca="1" si="163"/>
        <v>23</v>
      </c>
      <c r="Q383" s="304">
        <f t="shared" ca="1" si="164"/>
        <v>0</v>
      </c>
      <c r="R383" s="306">
        <f t="shared" ca="1" si="165"/>
        <v>0</v>
      </c>
      <c r="S383" s="307">
        <f t="shared" ca="1" si="166"/>
        <v>8.0499999999999989</v>
      </c>
      <c r="T383" s="304">
        <f t="shared" ca="1" si="146"/>
        <v>78.970499999999987</v>
      </c>
      <c r="U383" s="311">
        <f t="shared" ca="1" si="147"/>
        <v>0</v>
      </c>
      <c r="V383" s="306">
        <f t="shared" ca="1" si="148"/>
        <v>1.080892673686483</v>
      </c>
      <c r="W383" s="304">
        <f t="shared" ca="1" si="149"/>
        <v>7.1071942866329501</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7.6840407060863685</v>
      </c>
      <c r="AH383" s="304">
        <f t="shared" ca="1" si="173"/>
        <v>-0.85319525032541232</v>
      </c>
    </row>
    <row r="384" spans="1:34" x14ac:dyDescent="0.3">
      <c r="A384" s="347">
        <f t="shared" ca="1" si="151"/>
        <v>0.1</v>
      </c>
      <c r="B384" s="304">
        <f t="shared" ca="1" si="152"/>
        <v>20.000000000000018</v>
      </c>
      <c r="D384" s="306">
        <f t="shared" ca="1" si="153"/>
        <v>-0.42680787711505735</v>
      </c>
      <c r="E384" s="307">
        <f t="shared" ca="1" si="154"/>
        <v>-9.037138830838602</v>
      </c>
      <c r="F384" s="304">
        <f t="shared" ca="1" si="155"/>
        <v>9.0472119026702558</v>
      </c>
      <c r="G384" s="306">
        <f t="shared" ca="1" si="156"/>
        <v>22.195373326292017</v>
      </c>
      <c r="H384" s="307">
        <f t="shared" ca="1" si="157"/>
        <v>-41.172250205786362</v>
      </c>
      <c r="I384" s="304">
        <f t="shared" ca="1" si="158"/>
        <v>46.773804464693164</v>
      </c>
      <c r="J384" s="306">
        <f t="shared" ca="1" si="159"/>
        <v>534.03451321187561</v>
      </c>
      <c r="K384" s="307">
        <f t="shared" ca="1" si="160"/>
        <v>1245.8328496390241</v>
      </c>
      <c r="L384" s="304">
        <f t="shared" ca="1" si="145"/>
        <v>1355.4675763518417</v>
      </c>
      <c r="M384" s="306">
        <f t="shared" ca="1" si="161"/>
        <v>-1.0763711778961476</v>
      </c>
      <c r="N384" s="304">
        <f t="shared" ca="1" si="162"/>
        <v>-61.671525682974377</v>
      </c>
      <c r="P384" s="310">
        <f t="shared" ca="1" si="163"/>
        <v>23</v>
      </c>
      <c r="Q384" s="304">
        <f t="shared" ca="1" si="164"/>
        <v>0</v>
      </c>
      <c r="R384" s="306">
        <f t="shared" ca="1" si="165"/>
        <v>0</v>
      </c>
      <c r="S384" s="307">
        <f t="shared" ca="1" si="166"/>
        <v>8.0499999999999989</v>
      </c>
      <c r="T384" s="304">
        <f t="shared" ca="1" si="146"/>
        <v>78.970499999999987</v>
      </c>
      <c r="U384" s="311">
        <f t="shared" ca="1" si="147"/>
        <v>0</v>
      </c>
      <c r="V384" s="306">
        <f t="shared" ca="1" si="148"/>
        <v>1.0813346279142233</v>
      </c>
      <c r="W384" s="304">
        <f t="shared" ca="1" si="149"/>
        <v>7.3510231242599433</v>
      </c>
      <c r="Y384" s="314" t="str">
        <f t="shared" ca="1" si="167"/>
        <v/>
      </c>
      <c r="Z384" s="315" t="str">
        <f t="shared" ca="1" si="168"/>
        <v/>
      </c>
      <c r="AA384" s="316" t="str">
        <f t="shared" ca="1" si="169"/>
        <v/>
      </c>
      <c r="AC384" s="310">
        <f t="shared" ca="1" si="170"/>
        <v>20.000000000000018</v>
      </c>
      <c r="AD384" s="323">
        <f t="shared" ca="1" si="171"/>
        <v>534.03451321187561</v>
      </c>
      <c r="AE384" s="324" t="e">
        <f t="shared" ca="1" si="150"/>
        <v>#N/A</v>
      </c>
      <c r="AG384" s="306">
        <f t="shared" ca="1" si="172"/>
        <v>7.7046471472702693</v>
      </c>
      <c r="AH384" s="304">
        <f t="shared" ca="1" si="173"/>
        <v>-0.88288127784260262</v>
      </c>
    </row>
    <row r="385" spans="1:34" x14ac:dyDescent="0.3">
      <c r="A385" s="347">
        <f t="shared" ca="1" si="151"/>
        <v>0.1</v>
      </c>
      <c r="B385" s="304">
        <f t="shared" ca="1" si="152"/>
        <v>20.100000000000019</v>
      </c>
      <c r="D385" s="306">
        <f t="shared" ca="1" si="153"/>
        <v>-0.43332292599010352</v>
      </c>
      <c r="E385" s="307">
        <f t="shared" ca="1" si="154"/>
        <v>-9.0061892387890516</v>
      </c>
      <c r="F385" s="304">
        <f t="shared" ca="1" si="155"/>
        <v>9.0166076416282159</v>
      </c>
      <c r="G385" s="306">
        <f t="shared" ca="1" si="156"/>
        <v>22.152041033693006</v>
      </c>
      <c r="H385" s="307">
        <f t="shared" ca="1" si="157"/>
        <v>-42.072869129665264</v>
      </c>
      <c r="I385" s="304">
        <f t="shared" ca="1" si="158"/>
        <v>47.548283236730626</v>
      </c>
      <c r="J385" s="306">
        <f t="shared" ca="1" si="159"/>
        <v>536.25188392987491</v>
      </c>
      <c r="K385" s="307">
        <f t="shared" ca="1" si="160"/>
        <v>1241.6705936722515</v>
      </c>
      <c r="L385" s="304">
        <f t="shared" ca="1" si="145"/>
        <v>1352.5205899389264</v>
      </c>
      <c r="M385" s="306">
        <f t="shared" ca="1" si="161"/>
        <v>-1.0861615875217092</v>
      </c>
      <c r="N385" s="304">
        <f t="shared" ca="1" si="162"/>
        <v>-62.232474834223318</v>
      </c>
      <c r="P385" s="310">
        <f t="shared" ca="1" si="163"/>
        <v>23</v>
      </c>
      <c r="Q385" s="304">
        <f t="shared" ca="1" si="164"/>
        <v>0</v>
      </c>
      <c r="R385" s="306">
        <f t="shared" ca="1" si="165"/>
        <v>0</v>
      </c>
      <c r="S385" s="307">
        <f t="shared" ca="1" si="166"/>
        <v>8.0499999999999989</v>
      </c>
      <c r="T385" s="304">
        <f t="shared" ca="1" si="146"/>
        <v>78.970499999999987</v>
      </c>
      <c r="U385" s="311">
        <f t="shared" ca="1" si="147"/>
        <v>0</v>
      </c>
      <c r="V385" s="306">
        <f t="shared" ca="1" si="148"/>
        <v>1.0817865488224252</v>
      </c>
      <c r="W385" s="304">
        <f t="shared" ca="1" si="149"/>
        <v>7.5996492008444498</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7.7219998834931465</v>
      </c>
      <c r="AH385" s="304">
        <f t="shared" ca="1" si="173"/>
        <v>-0.91317057444222915</v>
      </c>
    </row>
    <row r="386" spans="1:34" x14ac:dyDescent="0.3">
      <c r="A386" s="347">
        <f t="shared" ca="1" si="151"/>
        <v>0.1</v>
      </c>
      <c r="B386" s="304">
        <f t="shared" ca="1" si="152"/>
        <v>20.200000000000021</v>
      </c>
      <c r="D386" s="306">
        <f t="shared" ca="1" si="153"/>
        <v>-0.43982161764744393</v>
      </c>
      <c r="E386" s="307">
        <f t="shared" ca="1" si="154"/>
        <v>-8.9746567767036289</v>
      </c>
      <c r="F386" s="304">
        <f t="shared" ca="1" si="155"/>
        <v>8.9854274976198205</v>
      </c>
      <c r="G386" s="306">
        <f t="shared" ca="1" si="156"/>
        <v>22.108058871928261</v>
      </c>
      <c r="H386" s="307">
        <f t="shared" ca="1" si="157"/>
        <v>-42.970334807335625</v>
      </c>
      <c r="I386" s="304">
        <f t="shared" ca="1" si="158"/>
        <v>48.324072060818359</v>
      </c>
      <c r="J386" s="306">
        <f t="shared" ca="1" si="159"/>
        <v>538.46488892515595</v>
      </c>
      <c r="K386" s="307">
        <f t="shared" ca="1" si="160"/>
        <v>1237.4184334754013</v>
      </c>
      <c r="L386" s="304">
        <f t="shared" ca="1" si="145"/>
        <v>1349.4994687327212</v>
      </c>
      <c r="M386" s="306">
        <f t="shared" ca="1" si="161"/>
        <v>-1.0956194036144689</v>
      </c>
      <c r="N386" s="304">
        <f t="shared" ca="1" si="162"/>
        <v>-62.774367779749355</v>
      </c>
      <c r="P386" s="310">
        <f t="shared" ca="1" si="163"/>
        <v>23</v>
      </c>
      <c r="Q386" s="304">
        <f t="shared" ca="1" si="164"/>
        <v>0</v>
      </c>
      <c r="R386" s="306">
        <f t="shared" ca="1" si="165"/>
        <v>0</v>
      </c>
      <c r="S386" s="307">
        <f t="shared" ca="1" si="166"/>
        <v>8.0499999999999989</v>
      </c>
      <c r="T386" s="304">
        <f t="shared" ca="1" si="146"/>
        <v>78.970499999999987</v>
      </c>
      <c r="U386" s="311">
        <f t="shared" ca="1" si="147"/>
        <v>0</v>
      </c>
      <c r="V386" s="306">
        <f t="shared" ca="1" si="148"/>
        <v>1.0822484140899127</v>
      </c>
      <c r="W386" s="304">
        <f t="shared" ca="1" si="149"/>
        <v>7.8530125451452575</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7.7362753918342442</v>
      </c>
      <c r="AH386" s="304">
        <f t="shared" ca="1" si="173"/>
        <v>-0.94405580134713674</v>
      </c>
    </row>
    <row r="387" spans="1:34" x14ac:dyDescent="0.3">
      <c r="A387" s="347">
        <f t="shared" ca="1" si="151"/>
        <v>0.1</v>
      </c>
      <c r="B387" s="304">
        <f t="shared" ca="1" si="152"/>
        <v>20.300000000000022</v>
      </c>
      <c r="D387" s="306">
        <f t="shared" ca="1" si="153"/>
        <v>-0.44630063010423432</v>
      </c>
      <c r="E387" s="307">
        <f t="shared" ca="1" si="154"/>
        <v>-8.9425476555223629</v>
      </c>
      <c r="F387" s="304">
        <f t="shared" ca="1" si="155"/>
        <v>8.9536776144621122</v>
      </c>
      <c r="G387" s="306">
        <f t="shared" ca="1" si="156"/>
        <v>22.063428808917838</v>
      </c>
      <c r="H387" s="307">
        <f t="shared" ca="1" si="157"/>
        <v>-43.864589572887859</v>
      </c>
      <c r="I387" s="304">
        <f t="shared" ca="1" si="158"/>
        <v>49.100887051091938</v>
      </c>
      <c r="J387" s="306">
        <f t="shared" ca="1" si="159"/>
        <v>540.67346330919827</v>
      </c>
      <c r="K387" s="307">
        <f t="shared" ca="1" si="160"/>
        <v>1233.0766872563902</v>
      </c>
      <c r="L387" s="304">
        <f t="shared" ca="1" si="145"/>
        <v>1346.4048093281442</v>
      </c>
      <c r="M387" s="306">
        <f t="shared" ca="1" si="161"/>
        <v>-1.1047599636603946</v>
      </c>
      <c r="N387" s="304">
        <f t="shared" ca="1" si="162"/>
        <v>-63.298083292766812</v>
      </c>
      <c r="P387" s="310">
        <f t="shared" ca="1" si="163"/>
        <v>23</v>
      </c>
      <c r="Q387" s="304">
        <f t="shared" ca="1" si="164"/>
        <v>0</v>
      </c>
      <c r="R387" s="306">
        <f t="shared" ca="1" si="165"/>
        <v>0</v>
      </c>
      <c r="S387" s="307">
        <f t="shared" ca="1" si="166"/>
        <v>8.0499999999999989</v>
      </c>
      <c r="T387" s="304">
        <f t="shared" ca="1" si="146"/>
        <v>78.970499999999987</v>
      </c>
      <c r="U387" s="311">
        <f t="shared" ca="1" si="147"/>
        <v>0</v>
      </c>
      <c r="V387" s="306">
        <f t="shared" ca="1" si="148"/>
        <v>1.0827202009734505</v>
      </c>
      <c r="W387" s="304">
        <f t="shared" ca="1" si="149"/>
        <v>8.111052315724347</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7.7476381897665494</v>
      </c>
      <c r="AH387" s="304">
        <f t="shared" ca="1" si="173"/>
        <v>-0.9755295087136967</v>
      </c>
    </row>
    <row r="388" spans="1:34" x14ac:dyDescent="0.3">
      <c r="A388" s="347">
        <f t="shared" ca="1" si="151"/>
        <v>0.1</v>
      </c>
      <c r="B388" s="304">
        <f t="shared" ca="1" si="152"/>
        <v>20.400000000000023</v>
      </c>
      <c r="D388" s="306">
        <f t="shared" ca="1" si="153"/>
        <v>-0.45275680840242649</v>
      </c>
      <c r="E388" s="307">
        <f t="shared" ca="1" si="154"/>
        <v>-8.9098683047452791</v>
      </c>
      <c r="F388" s="304">
        <f t="shared" ca="1" si="155"/>
        <v>8.921364353923634</v>
      </c>
      <c r="G388" s="306">
        <f t="shared" ca="1" si="156"/>
        <v>22.018153128077596</v>
      </c>
      <c r="H388" s="307">
        <f t="shared" ca="1" si="157"/>
        <v>-44.755576403362383</v>
      </c>
      <c r="I388" s="304">
        <f t="shared" ca="1" si="158"/>
        <v>49.878459141884896</v>
      </c>
      <c r="J388" s="306">
        <f t="shared" ca="1" si="159"/>
        <v>542.87754240604806</v>
      </c>
      <c r="K388" s="307">
        <f t="shared" ca="1" si="160"/>
        <v>1228.6456789575777</v>
      </c>
      <c r="L388" s="304">
        <f t="shared" ref="L388:L451" ca="1" si="174">SQRT(pos_x^2+pos_z^2)</f>
        <v>1343.2372204752062</v>
      </c>
      <c r="M388" s="306">
        <f t="shared" ca="1" si="161"/>
        <v>-1.113597786669323</v>
      </c>
      <c r="N388" s="304">
        <f t="shared" ca="1" si="162"/>
        <v>-63.804453251262011</v>
      </c>
      <c r="P388" s="310">
        <f t="shared" ca="1" si="163"/>
        <v>23</v>
      </c>
      <c r="Q388" s="304">
        <f t="shared" ca="1" si="164"/>
        <v>0</v>
      </c>
      <c r="R388" s="306">
        <f t="shared" ca="1" si="165"/>
        <v>0</v>
      </c>
      <c r="S388" s="307">
        <f t="shared" ca="1" si="166"/>
        <v>8.0499999999999989</v>
      </c>
      <c r="T388" s="304">
        <f t="shared" ref="T388:T451" ca="1" si="175">m*g</f>
        <v>78.970499999999987</v>
      </c>
      <c r="U388" s="311">
        <f t="shared" ref="U388:U451" ca="1" si="176">IF(pos_xz&lt;L_rampe,Poids*COS(Beta),0)</f>
        <v>0</v>
      </c>
      <c r="V388" s="306">
        <f t="shared" ref="V388:V451" ca="1" si="177">Rho_moyen*(20000-Alt_rampe-pos_z)/(20000+Alt_rampe+pos_z)</f>
        <v>1.0832018863111064</v>
      </c>
      <c r="W388" s="304">
        <f t="shared" ref="W388:W451" ca="1" si="178">1/2*Rho*Sref*Cx*vit_xz^2</f>
        <v>8.3737068254077691</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7.7562417218636517</v>
      </c>
      <c r="AH388" s="304">
        <f t="shared" ca="1" si="173"/>
        <v>-1.0075841385992979</v>
      </c>
    </row>
    <row r="389" spans="1:34" x14ac:dyDescent="0.3">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-0.45918715437944202</v>
      </c>
      <c r="E389" s="307">
        <f t="shared" ref="E389:E452" ca="1" si="183">IF(AND(L388&lt;L_rampe,Poussee&lt;Poids*SIN(M388)),0,(-W388+Poussee)/m*SIN(M388)+U388/m*COS(M388)-Poids/m)</f>
        <v>-8.8766253590059403</v>
      </c>
      <c r="F389" s="304">
        <f t="shared" ref="F389:F452" ca="1" si="184">SQRT(acc_x^2+acc_z^2)</f>
        <v>8.8884942823233253</v>
      </c>
      <c r="G389" s="306">
        <f t="shared" ref="G389:G452" ca="1" si="185">G388+acc_x*pas</f>
        <v>21.972234412639651</v>
      </c>
      <c r="H389" s="307">
        <f t="shared" ref="H389:H452" ca="1" si="186">H388+acc_z*pas</f>
        <v>-45.643238939262979</v>
      </c>
      <c r="I389" s="304">
        <f t="shared" ref="I389:I452" ca="1" si="187">SQRT(vit_x^2+vit_z^2)</f>
        <v>50.656533102361422</v>
      </c>
      <c r="J389" s="306">
        <f t="shared" ref="J389:J452" ca="1" si="188">J388+0.5*(vit_x+G388)*pas*(K388&gt;=0)</f>
        <v>545.07706178308388</v>
      </c>
      <c r="K389" s="307">
        <f t="shared" ref="K389:K452" ca="1" si="189">K388+0.5*(vit_z+H388)*pas</f>
        <v>1224.1257381904466</v>
      </c>
      <c r="L389" s="304">
        <f t="shared" ca="1" si="174"/>
        <v>1339.9973231997089</v>
      </c>
      <c r="M389" s="306">
        <f t="shared" ref="M389:M452" ca="1" si="190">IF(AND(L388&gt;L_rampe,G389&gt;0),ATAN2(G389,H389),$M$4)</f>
        <v>-1.1221466169017107</v>
      </c>
      <c r="N389" s="304">
        <f t="shared" ref="N389:N452" ca="1" si="191">DEGREES(Beta)</f>
        <v>-64.29426514335168</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8.0499999999999989</v>
      </c>
      <c r="T389" s="304">
        <f t="shared" ca="1" si="175"/>
        <v>78.970499999999987</v>
      </c>
      <c r="U389" s="311">
        <f t="shared" ca="1" si="176"/>
        <v>0</v>
      </c>
      <c r="V389" s="306">
        <f t="shared" ca="1" si="177"/>
        <v>1.0836934465258075</v>
      </c>
      <c r="W389" s="304">
        <f t="shared" ca="1" si="178"/>
        <v>8.6409135662717453</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7.7622291875155671</v>
      </c>
      <c r="AH389" s="304">
        <f t="shared" ref="AH389:AH452" ca="1" si="202">IF(AND(L388&lt;L_rampe,Poussee&lt;Poids*SIN(M388)), g*SIN(M388), (-W388+Poussee)/m)</f>
        <v>-1.0402120280009652</v>
      </c>
    </row>
    <row r="390" spans="1:34" x14ac:dyDescent="0.3">
      <c r="A390" s="347">
        <f t="shared" ca="1" si="180"/>
        <v>0.1</v>
      </c>
      <c r="B390" s="304">
        <f t="shared" ca="1" si="181"/>
        <v>20.600000000000026</v>
      </c>
      <c r="D390" s="306">
        <f t="shared" ca="1" si="182"/>
        <v>-0.46558881721545659</v>
      </c>
      <c r="E390" s="307">
        <f t="shared" ca="1" si="183"/>
        <v>-8.842825645652626</v>
      </c>
      <c r="F390" s="304">
        <f t="shared" ca="1" si="184"/>
        <v>8.8550741581382511</v>
      </c>
      <c r="G390" s="306">
        <f t="shared" ca="1" si="185"/>
        <v>21.925675530918106</v>
      </c>
      <c r="H390" s="307">
        <f t="shared" ca="1" si="186"/>
        <v>-46.52752150382824</v>
      </c>
      <c r="I390" s="304">
        <f t="shared" ca="1" si="187"/>
        <v>51.434866625435127</v>
      </c>
      <c r="J390" s="306">
        <f t="shared" ca="1" si="188"/>
        <v>547.27195728026174</v>
      </c>
      <c r="K390" s="307">
        <f t="shared" ca="1" si="189"/>
        <v>1219.517200168292</v>
      </c>
      <c r="L390" s="304">
        <f t="shared" ca="1" si="174"/>
        <v>1336.6857509271499</v>
      </c>
      <c r="M390" s="306">
        <f t="shared" ca="1" si="190"/>
        <v>-1.1304194660122684</v>
      </c>
      <c r="N390" s="304">
        <f t="shared" ca="1" si="191"/>
        <v>-64.768264481935191</v>
      </c>
      <c r="P390" s="310">
        <f t="shared" ca="1" si="192"/>
        <v>23</v>
      </c>
      <c r="Q390" s="304">
        <f t="shared" ca="1" si="193"/>
        <v>0</v>
      </c>
      <c r="R390" s="306">
        <f t="shared" ca="1" si="194"/>
        <v>0</v>
      </c>
      <c r="S390" s="307">
        <f t="shared" ca="1" si="195"/>
        <v>8.0499999999999989</v>
      </c>
      <c r="T390" s="304">
        <f t="shared" ca="1" si="175"/>
        <v>78.970499999999987</v>
      </c>
      <c r="U390" s="311">
        <f t="shared" ca="1" si="176"/>
        <v>0</v>
      </c>
      <c r="V390" s="306">
        <f t="shared" ca="1" si="177"/>
        <v>1.0841948576290596</v>
      </c>
      <c r="W390" s="304">
        <f t="shared" ca="1" si="178"/>
        <v>8.9126092351093167</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7.7657343114281421</v>
      </c>
      <c r="AH390" s="304">
        <f t="shared" ca="1" si="202"/>
        <v>-1.0734054119592231</v>
      </c>
    </row>
    <row r="391" spans="1:34" x14ac:dyDescent="0.3">
      <c r="A391" s="347">
        <f t="shared" ca="1" si="180"/>
        <v>0.1</v>
      </c>
      <c r="B391" s="304">
        <f t="shared" ca="1" si="181"/>
        <v>20.700000000000028</v>
      </c>
      <c r="D391" s="306">
        <f t="shared" ca="1" si="182"/>
        <v>-0.47195908470122017</v>
      </c>
      <c r="E391" s="307">
        <f t="shared" ca="1" si="183"/>
        <v>-8.8084761732244967</v>
      </c>
      <c r="F391" s="304">
        <f t="shared" ca="1" si="184"/>
        <v>8.8211109205074436</v>
      </c>
      <c r="G391" s="306">
        <f t="shared" ca="1" si="185"/>
        <v>21.878479622447983</v>
      </c>
      <c r="H391" s="307">
        <f t="shared" ca="1" si="186"/>
        <v>-47.408369121150692</v>
      </c>
      <c r="I391" s="304">
        <f t="shared" ca="1" si="187"/>
        <v>52.213229485611656</v>
      </c>
      <c r="J391" s="306">
        <f t="shared" ca="1" si="188"/>
        <v>549.46216503793005</v>
      </c>
      <c r="K391" s="307">
        <f t="shared" ca="1" si="189"/>
        <v>1214.820405637043</v>
      </c>
      <c r="L391" s="304">
        <f t="shared" ca="1" si="174"/>
        <v>1333.3031496101398</v>
      </c>
      <c r="M391" s="306">
        <f t="shared" ca="1" si="190"/>
        <v>-1.1384286534850465</v>
      </c>
      <c r="N391" s="304">
        <f t="shared" ca="1" si="191"/>
        <v>-65.227157121454425</v>
      </c>
      <c r="P391" s="310">
        <f t="shared" ca="1" si="192"/>
        <v>23</v>
      </c>
      <c r="Q391" s="304">
        <f t="shared" ca="1" si="193"/>
        <v>0</v>
      </c>
      <c r="R391" s="306">
        <f t="shared" ca="1" si="194"/>
        <v>0</v>
      </c>
      <c r="S391" s="307">
        <f t="shared" ca="1" si="195"/>
        <v>8.0499999999999989</v>
      </c>
      <c r="T391" s="304">
        <f t="shared" ca="1" si="175"/>
        <v>78.970499999999987</v>
      </c>
      <c r="U391" s="311">
        <f t="shared" ca="1" si="176"/>
        <v>0</v>
      </c>
      <c r="V391" s="306">
        <f t="shared" ca="1" si="177"/>
        <v>1.0847060952248313</v>
      </c>
      <c r="W391" s="304">
        <f t="shared" ca="1" si="178"/>
        <v>9.1887297593355175</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7.7668820592038204</v>
      </c>
      <c r="AH391" s="304">
        <f t="shared" ca="1" si="202"/>
        <v>-1.1071564267216545</v>
      </c>
    </row>
    <row r="392" spans="1:34" x14ac:dyDescent="0.3">
      <c r="A392" s="347">
        <f t="shared" ca="1" si="180"/>
        <v>0.1</v>
      </c>
      <c r="B392" s="304">
        <f t="shared" ca="1" si="181"/>
        <v>20.800000000000029</v>
      </c>
      <c r="D392" s="306">
        <f t="shared" ca="1" si="182"/>
        <v>-0.47829537517299114</v>
      </c>
      <c r="E392" s="307">
        <f t="shared" ca="1" si="183"/>
        <v>-8.773584120723136</v>
      </c>
      <c r="F392" s="304">
        <f t="shared" ca="1" si="184"/>
        <v>8.78661167853212</v>
      </c>
      <c r="G392" s="306">
        <f t="shared" ca="1" si="185"/>
        <v>21.830650084930685</v>
      </c>
      <c r="H392" s="307">
        <f t="shared" ca="1" si="186"/>
        <v>-48.285727533223003</v>
      </c>
      <c r="I392" s="304">
        <f t="shared" ca="1" si="187"/>
        <v>52.991402760668016</v>
      </c>
      <c r="J392" s="306">
        <f t="shared" ca="1" si="188"/>
        <v>551.64762152329899</v>
      </c>
      <c r="K392" s="307">
        <f t="shared" ca="1" si="189"/>
        <v>1210.0357008043243</v>
      </c>
      <c r="L392" s="304">
        <f t="shared" ca="1" si="174"/>
        <v>1329.8501778596433</v>
      </c>
      <c r="M392" s="306">
        <f t="shared" ca="1" si="190"/>
        <v>-1.1461858452838785</v>
      </c>
      <c r="N392" s="304">
        <f t="shared" ca="1" si="191"/>
        <v>-65.671611472400983</v>
      </c>
      <c r="P392" s="310">
        <f t="shared" ca="1" si="192"/>
        <v>23</v>
      </c>
      <c r="Q392" s="304">
        <f t="shared" ca="1" si="193"/>
        <v>0</v>
      </c>
      <c r="R392" s="306">
        <f t="shared" ca="1" si="194"/>
        <v>0</v>
      </c>
      <c r="S392" s="307">
        <f t="shared" ca="1" si="195"/>
        <v>8.0499999999999989</v>
      </c>
      <c r="T392" s="304">
        <f t="shared" ca="1" si="175"/>
        <v>78.970499999999987</v>
      </c>
      <c r="U392" s="311">
        <f t="shared" ca="1" si="176"/>
        <v>0</v>
      </c>
      <c r="V392" s="306">
        <f t="shared" ca="1" si="177"/>
        <v>1.0852271345135844</v>
      </c>
      <c r="W392" s="304">
        <f t="shared" ca="1" si="178"/>
        <v>9.4692103232911293</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7.7657893006448138</v>
      </c>
      <c r="AH392" s="304">
        <f t="shared" ca="1" si="202"/>
        <v>-1.1414571129609341</v>
      </c>
    </row>
    <row r="393" spans="1:34" x14ac:dyDescent="0.3">
      <c r="A393" s="347">
        <f t="shared" ca="1" si="180"/>
        <v>0.1</v>
      </c>
      <c r="B393" s="304">
        <f t="shared" ca="1" si="181"/>
        <v>20.900000000000031</v>
      </c>
      <c r="D393" s="306">
        <f t="shared" ca="1" si="182"/>
        <v>-0.48459523006402577</v>
      </c>
      <c r="E393" s="307">
        <f t="shared" ca="1" si="183"/>
        <v>-8.738156827591542</v>
      </c>
      <c r="F393" s="304">
        <f t="shared" ca="1" si="184"/>
        <v>8.7515837012843285</v>
      </c>
      <c r="G393" s="306">
        <f t="shared" ca="1" si="185"/>
        <v>21.782190561924281</v>
      </c>
      <c r="H393" s="307">
        <f t="shared" ca="1" si="186"/>
        <v>-49.159543215982154</v>
      </c>
      <c r="I393" s="304">
        <f t="shared" ca="1" si="187"/>
        <v>53.769178112372153</v>
      </c>
      <c r="J393" s="306">
        <f t="shared" ca="1" si="188"/>
        <v>553.8282635556418</v>
      </c>
      <c r="K393" s="307">
        <f t="shared" ca="1" si="189"/>
        <v>1205.1634372668641</v>
      </c>
      <c r="L393" s="304">
        <f t="shared" ca="1" si="174"/>
        <v>1326.3275070803365</v>
      </c>
      <c r="M393" s="306">
        <f t="shared" ca="1" si="190"/>
        <v>-1.1537020906811164</v>
      </c>
      <c r="N393" s="304">
        <f t="shared" ca="1" si="191"/>
        <v>-66.102260611447349</v>
      </c>
      <c r="P393" s="310">
        <f t="shared" ca="1" si="192"/>
        <v>23</v>
      </c>
      <c r="Q393" s="304">
        <f t="shared" ca="1" si="193"/>
        <v>0</v>
      </c>
      <c r="R393" s="306">
        <f t="shared" ca="1" si="194"/>
        <v>0</v>
      </c>
      <c r="S393" s="307">
        <f t="shared" ca="1" si="195"/>
        <v>8.0499999999999989</v>
      </c>
      <c r="T393" s="304">
        <f t="shared" ca="1" si="175"/>
        <v>78.970499999999987</v>
      </c>
      <c r="U393" s="311">
        <f t="shared" ca="1" si="176"/>
        <v>0</v>
      </c>
      <c r="V393" s="306">
        <f t="shared" ca="1" si="177"/>
        <v>1.0857579502964501</v>
      </c>
      <c r="W393" s="304">
        <f t="shared" ca="1" si="178"/>
        <v>9.753985394907275</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7.7625654236241584</v>
      </c>
      <c r="AH393" s="304">
        <f t="shared" ca="1" si="202"/>
        <v>-1.1762994190423766</v>
      </c>
    </row>
    <row r="394" spans="1:34" x14ac:dyDescent="0.3">
      <c r="A394" s="347">
        <f t="shared" ca="1" si="180"/>
        <v>0.1</v>
      </c>
      <c r="B394" s="304">
        <f t="shared" ca="1" si="181"/>
        <v>21.000000000000032</v>
      </c>
      <c r="D394" s="306">
        <f t="shared" ca="1" si="182"/>
        <v>-0.49085630702506605</v>
      </c>
      <c r="E394" s="307">
        <f t="shared" ca="1" si="183"/>
        <v>-8.702201784323</v>
      </c>
      <c r="F394" s="304">
        <f t="shared" ca="1" si="184"/>
        <v>8.7160344084463475</v>
      </c>
      <c r="G394" s="306">
        <f t="shared" ca="1" si="185"/>
        <v>21.733104931221774</v>
      </c>
      <c r="H394" s="307">
        <f t="shared" ca="1" si="186"/>
        <v>-50.029763394414452</v>
      </c>
      <c r="I394" s="304">
        <f t="shared" ca="1" si="187"/>
        <v>54.546357121741764</v>
      </c>
      <c r="J394" s="306">
        <f t="shared" ca="1" si="188"/>
        <v>556.00402833029909</v>
      </c>
      <c r="K394" s="307">
        <f t="shared" ca="1" si="189"/>
        <v>1200.2039719363443</v>
      </c>
      <c r="L394" s="304">
        <f t="shared" ca="1" si="174"/>
        <v>1322.7358216103837</v>
      </c>
      <c r="M394" s="306">
        <f t="shared" ca="1" si="190"/>
        <v>-1.1609878572581693</v>
      </c>
      <c r="N394" s="304">
        <f t="shared" ca="1" si="191"/>
        <v>-66.519704286829963</v>
      </c>
      <c r="P394" s="310">
        <f t="shared" ca="1" si="192"/>
        <v>23</v>
      </c>
      <c r="Q394" s="304">
        <f t="shared" ca="1" si="193"/>
        <v>0</v>
      </c>
      <c r="R394" s="306">
        <f t="shared" ca="1" si="194"/>
        <v>0</v>
      </c>
      <c r="S394" s="307">
        <f t="shared" ca="1" si="195"/>
        <v>8.0499999999999989</v>
      </c>
      <c r="T394" s="304">
        <f t="shared" ca="1" si="175"/>
        <v>78.970499999999987</v>
      </c>
      <c r="U394" s="311">
        <f t="shared" ca="1" si="176"/>
        <v>0</v>
      </c>
      <c r="V394" s="306">
        <f t="shared" ca="1" si="177"/>
        <v>1.0862985169795292</v>
      </c>
      <c r="W394" s="304">
        <f t="shared" ca="1" si="178"/>
        <v>10.042988752694656</v>
      </c>
      <c r="Y394" s="314" t="str">
        <f t="shared" ca="1" si="196"/>
        <v/>
      </c>
      <c r="Z394" s="315" t="str">
        <f t="shared" ca="1" si="197"/>
        <v/>
      </c>
      <c r="AA394" s="316" t="str">
        <f t="shared" ca="1" si="198"/>
        <v/>
      </c>
      <c r="AC394" s="310">
        <f t="shared" ca="1" si="199"/>
        <v>21.000000000000032</v>
      </c>
      <c r="AD394" s="323">
        <f t="shared" ca="1" si="200"/>
        <v>556.00402833029909</v>
      </c>
      <c r="AE394" s="324" t="e">
        <f t="shared" ca="1" si="179"/>
        <v>#N/A</v>
      </c>
      <c r="AG394" s="306">
        <f t="shared" ca="1" si="201"/>
        <v>7.7573129014688522</v>
      </c>
      <c r="AH394" s="304">
        <f t="shared" ca="1" si="202"/>
        <v>-1.2116752043363077</v>
      </c>
    </row>
    <row r="395" spans="1:34" x14ac:dyDescent="0.3">
      <c r="A395" s="347">
        <f t="shared" ca="1" si="180"/>
        <v>0.1</v>
      </c>
      <c r="B395" s="304">
        <f t="shared" ca="1" si="181"/>
        <v>21.100000000000033</v>
      </c>
      <c r="D395" s="306">
        <f t="shared" ca="1" si="182"/>
        <v>-0.49707637356927187</v>
      </c>
      <c r="E395" s="307">
        <f t="shared" ca="1" si="183"/>
        <v>-8.6657266236313077</v>
      </c>
      <c r="F395" s="304">
        <f t="shared" ca="1" si="184"/>
        <v>8.6799713615122744</v>
      </c>
      <c r="G395" s="306">
        <f t="shared" ca="1" si="185"/>
        <v>21.683397293864846</v>
      </c>
      <c r="H395" s="307">
        <f t="shared" ca="1" si="186"/>
        <v>-50.896336056777585</v>
      </c>
      <c r="I395" s="304">
        <f t="shared" ca="1" si="187"/>
        <v>55.322750674636772</v>
      </c>
      <c r="J395" s="306">
        <f t="shared" ca="1" si="188"/>
        <v>558.17485344155341</v>
      </c>
      <c r="K395" s="307">
        <f t="shared" ca="1" si="189"/>
        <v>1195.1576669637845</v>
      </c>
      <c r="L395" s="304">
        <f t="shared" ca="1" si="174"/>
        <v>1319.0758188659272</v>
      </c>
      <c r="M395" s="306">
        <f t="shared" ca="1" si="190"/>
        <v>-1.1680530640949707</v>
      </c>
      <c r="N395" s="304">
        <f t="shared" ca="1" si="191"/>
        <v>-66.924510819965647</v>
      </c>
      <c r="P395" s="310">
        <f t="shared" ca="1" si="192"/>
        <v>23</v>
      </c>
      <c r="Q395" s="304">
        <f t="shared" ca="1" si="193"/>
        <v>0</v>
      </c>
      <c r="R395" s="306">
        <f t="shared" ca="1" si="194"/>
        <v>0</v>
      </c>
      <c r="S395" s="307">
        <f t="shared" ca="1" si="195"/>
        <v>8.0499999999999989</v>
      </c>
      <c r="T395" s="304">
        <f t="shared" ca="1" si="175"/>
        <v>78.970499999999987</v>
      </c>
      <c r="U395" s="311">
        <f t="shared" ca="1" si="176"/>
        <v>0</v>
      </c>
      <c r="V395" s="306">
        <f t="shared" ca="1" si="177"/>
        <v>1.0868488085783263</v>
      </c>
      <c r="W395" s="304">
        <f t="shared" ca="1" si="178"/>
        <v>10.33615351302328</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7.7501278168187442</v>
      </c>
      <c r="AH395" s="304">
        <f t="shared" ca="1" si="202"/>
        <v>-1.2475762425707648</v>
      </c>
    </row>
    <row r="396" spans="1:34" x14ac:dyDescent="0.3">
      <c r="A396" s="347">
        <f t="shared" ca="1" si="180"/>
        <v>0.1</v>
      </c>
      <c r="B396" s="304">
        <f t="shared" ca="1" si="181"/>
        <v>21.200000000000035</v>
      </c>
      <c r="D396" s="306">
        <f t="shared" ca="1" si="182"/>
        <v>-0.50325330120007428</v>
      </c>
      <c r="E396" s="307">
        <f t="shared" ca="1" si="183"/>
        <v>-8.6287391121220249</v>
      </c>
      <c r="F396" s="304">
        <f t="shared" ca="1" si="184"/>
        <v>8.6434022554913632</v>
      </c>
      <c r="G396" s="306">
        <f t="shared" ca="1" si="185"/>
        <v>21.63307196374484</v>
      </c>
      <c r="H396" s="307">
        <f t="shared" ca="1" si="186"/>
        <v>-51.75920996798979</v>
      </c>
      <c r="I396" s="304">
        <f t="shared" ca="1" si="187"/>
        <v>56.098178393767981</v>
      </c>
      <c r="J396" s="306">
        <f t="shared" ca="1" si="188"/>
        <v>560.34067690443385</v>
      </c>
      <c r="K396" s="307">
        <f t="shared" ca="1" si="189"/>
        <v>1190.0248896625462</v>
      </c>
      <c r="L396" s="304">
        <f t="shared" ca="1" si="174"/>
        <v>1315.3482094905798</v>
      </c>
      <c r="M396" s="306">
        <f t="shared" ca="1" si="190"/>
        <v>-1.1749071131834956</v>
      </c>
      <c r="N396" s="304">
        <f t="shared" ca="1" si="191"/>
        <v>-67.317218905313624</v>
      </c>
      <c r="P396" s="310">
        <f t="shared" ca="1" si="192"/>
        <v>23</v>
      </c>
      <c r="Q396" s="304">
        <f t="shared" ca="1" si="193"/>
        <v>0</v>
      </c>
      <c r="R396" s="306">
        <f t="shared" ca="1" si="194"/>
        <v>0</v>
      </c>
      <c r="S396" s="307">
        <f t="shared" ca="1" si="195"/>
        <v>8.0499999999999989</v>
      </c>
      <c r="T396" s="304">
        <f t="shared" ca="1" si="175"/>
        <v>78.970499999999987</v>
      </c>
      <c r="U396" s="311">
        <f t="shared" ca="1" si="176"/>
        <v>0</v>
      </c>
      <c r="V396" s="306">
        <f t="shared" ca="1" si="177"/>
        <v>1.0874087987222905</v>
      </c>
      <c r="W396" s="304">
        <f t="shared" ca="1" si="178"/>
        <v>10.633412157659468</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7.7411003448856395</v>
      </c>
      <c r="AH396" s="304">
        <f t="shared" ca="1" si="202"/>
        <v>-1.2839942252202834</v>
      </c>
    </row>
    <row r="397" spans="1:34" x14ac:dyDescent="0.3">
      <c r="A397" s="347">
        <f t="shared" ca="1" si="180"/>
        <v>0.1</v>
      </c>
      <c r="B397" s="304">
        <f t="shared" ca="1" si="181"/>
        <v>21.300000000000036</v>
      </c>
      <c r="D397" s="306">
        <f t="shared" ca="1" si="182"/>
        <v>-0.50938505998329231</v>
      </c>
      <c r="E397" s="307">
        <f t="shared" ca="1" si="183"/>
        <v>-8.591247142411472</v>
      </c>
      <c r="F397" s="304">
        <f t="shared" ca="1" si="184"/>
        <v>8.6063349110598448</v>
      </c>
      <c r="G397" s="306">
        <f t="shared" ca="1" si="185"/>
        <v>21.582133457746512</v>
      </c>
      <c r="H397" s="307">
        <f t="shared" ca="1" si="186"/>
        <v>-52.618334682230937</v>
      </c>
      <c r="I397" s="304">
        <f t="shared" ca="1" si="187"/>
        <v>56.872468113483947</v>
      </c>
      <c r="J397" s="306">
        <f t="shared" ca="1" si="188"/>
        <v>562.50143717550839</v>
      </c>
      <c r="K397" s="307">
        <f t="shared" ca="1" si="189"/>
        <v>1184.8060124300353</v>
      </c>
      <c r="L397" s="304">
        <f t="shared" ca="1" si="174"/>
        <v>1311.5537175102181</v>
      </c>
      <c r="M397" s="306">
        <f t="shared" ca="1" si="190"/>
        <v>-1.1815589191138232</v>
      </c>
      <c r="N397" s="304">
        <f t="shared" ca="1" si="191"/>
        <v>-67.698339311261478</v>
      </c>
      <c r="P397" s="310">
        <f t="shared" ca="1" si="192"/>
        <v>23</v>
      </c>
      <c r="Q397" s="304">
        <f t="shared" ca="1" si="193"/>
        <v>0</v>
      </c>
      <c r="R397" s="306">
        <f t="shared" ca="1" si="194"/>
        <v>0</v>
      </c>
      <c r="S397" s="307">
        <f t="shared" ca="1" si="195"/>
        <v>8.0499999999999989</v>
      </c>
      <c r="T397" s="304">
        <f t="shared" ca="1" si="175"/>
        <v>78.970499999999987</v>
      </c>
      <c r="U397" s="311">
        <f t="shared" ca="1" si="176"/>
        <v>0</v>
      </c>
      <c r="V397" s="306">
        <f t="shared" ca="1" si="177"/>
        <v>1.0879784606594745</v>
      </c>
      <c r="W397" s="304">
        <f t="shared" ca="1" si="178"/>
        <v>10.934696561528899</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7.7303151989560526</v>
      </c>
      <c r="AH397" s="304">
        <f t="shared" ca="1" si="202"/>
        <v>-1.3209207649266421</v>
      </c>
    </row>
    <row r="398" spans="1:34" x14ac:dyDescent="0.3">
      <c r="A398" s="347">
        <f t="shared" ca="1" si="180"/>
        <v>0.1</v>
      </c>
      <c r="B398" s="304">
        <f t="shared" ca="1" si="181"/>
        <v>21.400000000000038</v>
      </c>
      <c r="D398" s="306">
        <f t="shared" ca="1" si="182"/>
        <v>-0.51546971352771853</v>
      </c>
      <c r="E398" s="307">
        <f t="shared" ca="1" si="183"/>
        <v>-8.553258725646522</v>
      </c>
      <c r="F398" s="304">
        <f t="shared" ca="1" si="184"/>
        <v>8.5687772671141769</v>
      </c>
      <c r="G398" s="306">
        <f t="shared" ca="1" si="185"/>
        <v>21.530586486393741</v>
      </c>
      <c r="H398" s="307">
        <f t="shared" ca="1" si="186"/>
        <v>-53.473660554795586</v>
      </c>
      <c r="I398" s="304">
        <f t="shared" ca="1" si="187"/>
        <v>57.645455393964774</v>
      </c>
      <c r="J398" s="306">
        <f t="shared" ca="1" si="188"/>
        <v>564.6570731727154</v>
      </c>
      <c r="K398" s="307">
        <f t="shared" ca="1" si="189"/>
        <v>1179.501412668184</v>
      </c>
      <c r="L398" s="304">
        <f t="shared" ca="1" si="174"/>
        <v>1307.6930804933622</v>
      </c>
      <c r="M398" s="306">
        <f t="shared" ca="1" si="190"/>
        <v>-1.1880169370909306</v>
      </c>
      <c r="N398" s="304">
        <f t="shared" ca="1" si="191"/>
        <v>-68.06835648536935</v>
      </c>
      <c r="P398" s="310">
        <f t="shared" ca="1" si="192"/>
        <v>23</v>
      </c>
      <c r="Q398" s="304">
        <f t="shared" ca="1" si="193"/>
        <v>0</v>
      </c>
      <c r="R398" s="306">
        <f t="shared" ca="1" si="194"/>
        <v>0</v>
      </c>
      <c r="S398" s="307">
        <f t="shared" ca="1" si="195"/>
        <v>8.0499999999999989</v>
      </c>
      <c r="T398" s="304">
        <f t="shared" ca="1" si="175"/>
        <v>78.970499999999987</v>
      </c>
      <c r="U398" s="311">
        <f t="shared" ca="1" si="176"/>
        <v>0</v>
      </c>
      <c r="V398" s="306">
        <f t="shared" ca="1" si="177"/>
        <v>1.0885577672612927</v>
      </c>
      <c r="W398" s="304">
        <f t="shared" ca="1" si="178"/>
        <v>11.239938020675128</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7.7178520408705804</v>
      </c>
      <c r="AH398" s="304">
        <f t="shared" ca="1" si="202"/>
        <v>-1.3583473989476895</v>
      </c>
    </row>
    <row r="399" spans="1:34" x14ac:dyDescent="0.3">
      <c r="A399" s="347">
        <f t="shared" ca="1" si="180"/>
        <v>0.1</v>
      </c>
      <c r="B399" s="304">
        <f t="shared" ca="1" si="181"/>
        <v>21.500000000000039</v>
      </c>
      <c r="D399" s="306">
        <f t="shared" ca="1" si="182"/>
        <v>-0.52150541434100872</v>
      </c>
      <c r="E399" s="307">
        <f t="shared" ca="1" si="183"/>
        <v>-8.5147819843838359</v>
      </c>
      <c r="F399" s="304">
        <f t="shared" ca="1" si="184"/>
        <v>8.5307373736843246</v>
      </c>
      <c r="G399" s="306">
        <f t="shared" ca="1" si="185"/>
        <v>21.478435944959639</v>
      </c>
      <c r="H399" s="307">
        <f t="shared" ca="1" si="186"/>
        <v>-54.325138753233972</v>
      </c>
      <c r="I399" s="304">
        <f t="shared" ca="1" si="187"/>
        <v>58.416983071704905</v>
      </c>
      <c r="J399" s="306">
        <f t="shared" ca="1" si="188"/>
        <v>566.8075242942831</v>
      </c>
      <c r="K399" s="307">
        <f t="shared" ca="1" si="189"/>
        <v>1174.1114727027825</v>
      </c>
      <c r="L399" s="304">
        <f t="shared" ca="1" si="174"/>
        <v>1303.7670497174374</v>
      </c>
      <c r="M399" s="306">
        <f t="shared" ca="1" si="190"/>
        <v>-1.1942891893471157</v>
      </c>
      <c r="N399" s="304">
        <f t="shared" ca="1" si="191"/>
        <v>-68.427730067690163</v>
      </c>
      <c r="P399" s="310">
        <f t="shared" ca="1" si="192"/>
        <v>23</v>
      </c>
      <c r="Q399" s="304">
        <f t="shared" ca="1" si="193"/>
        <v>0</v>
      </c>
      <c r="R399" s="306">
        <f t="shared" ca="1" si="194"/>
        <v>0</v>
      </c>
      <c r="S399" s="307">
        <f t="shared" ca="1" si="195"/>
        <v>8.0499999999999989</v>
      </c>
      <c r="T399" s="304">
        <f t="shared" ca="1" si="175"/>
        <v>78.970499999999987</v>
      </c>
      <c r="U399" s="311">
        <f t="shared" ca="1" si="176"/>
        <v>0</v>
      </c>
      <c r="V399" s="306">
        <f t="shared" ca="1" si="177"/>
        <v>1.0891466910273788</v>
      </c>
      <c r="W399" s="304">
        <f t="shared" ca="1" si="178"/>
        <v>11.549067280384508</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7.7037858590832187</v>
      </c>
      <c r="AH399" s="304">
        <f t="shared" ca="1" si="202"/>
        <v>-1.3962655926304508</v>
      </c>
    </row>
    <row r="400" spans="1:34" x14ac:dyDescent="0.3">
      <c r="A400" s="347">
        <f t="shared" ca="1" si="180"/>
        <v>0.1</v>
      </c>
      <c r="B400" s="304">
        <f t="shared" ca="1" si="181"/>
        <v>21.600000000000041</v>
      </c>
      <c r="D400" s="306">
        <f t="shared" ca="1" si="182"/>
        <v>-0.5274903995302751</v>
      </c>
      <c r="E400" s="307">
        <f t="shared" ca="1" si="183"/>
        <v>-8.475825145792065</v>
      </c>
      <c r="F400" s="304">
        <f t="shared" ca="1" si="184"/>
        <v>8.4922233851705577</v>
      </c>
      <c r="G400" s="306">
        <f t="shared" ca="1" si="185"/>
        <v>21.425686905006611</v>
      </c>
      <c r="H400" s="307">
        <f t="shared" ca="1" si="186"/>
        <v>-55.172721267813181</v>
      </c>
      <c r="I400" s="304">
        <f t="shared" ca="1" si="187"/>
        <v>59.186900843406022</v>
      </c>
      <c r="J400" s="306">
        <f t="shared" ca="1" si="188"/>
        <v>568.95273043678139</v>
      </c>
      <c r="K400" s="307">
        <f t="shared" ca="1" si="189"/>
        <v>1168.6365797017302</v>
      </c>
      <c r="L400" s="304">
        <f t="shared" ca="1" si="174"/>
        <v>1299.7763903412106</v>
      </c>
      <c r="M400" s="306">
        <f t="shared" ca="1" si="190"/>
        <v>-1.200383290019279</v>
      </c>
      <c r="N400" s="304">
        <f t="shared" ca="1" si="191"/>
        <v>-68.776896316132962</v>
      </c>
      <c r="P400" s="310">
        <f t="shared" ca="1" si="192"/>
        <v>23</v>
      </c>
      <c r="Q400" s="304">
        <f t="shared" ca="1" si="193"/>
        <v>0</v>
      </c>
      <c r="R400" s="306">
        <f t="shared" ca="1" si="194"/>
        <v>0</v>
      </c>
      <c r="S400" s="307">
        <f t="shared" ca="1" si="195"/>
        <v>8.0499999999999989</v>
      </c>
      <c r="T400" s="304">
        <f t="shared" ca="1" si="175"/>
        <v>78.970499999999987</v>
      </c>
      <c r="U400" s="311">
        <f t="shared" ca="1" si="176"/>
        <v>0</v>
      </c>
      <c r="V400" s="306">
        <f t="shared" ca="1" si="177"/>
        <v>1.0897452040905327</v>
      </c>
      <c r="W400" s="304">
        <f t="shared" ca="1" si="178"/>
        <v>11.862014563449318</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7.688187316762499</v>
      </c>
      <c r="AH400" s="304">
        <f t="shared" ca="1" si="202"/>
        <v>-1.434666742904908</v>
      </c>
    </row>
    <row r="401" spans="1:34" x14ac:dyDescent="0.3">
      <c r="A401" s="347">
        <f t="shared" ca="1" si="180"/>
        <v>0.1</v>
      </c>
      <c r="B401" s="304">
        <f t="shared" ca="1" si="181"/>
        <v>21.700000000000042</v>
      </c>
      <c r="D401" s="306">
        <f t="shared" ca="1" si="182"/>
        <v>-0.53342298681915579</v>
      </c>
      <c r="E401" s="307">
        <f t="shared" ca="1" si="183"/>
        <v>-8.4363965351448975</v>
      </c>
      <c r="F401" s="304">
        <f t="shared" ca="1" si="184"/>
        <v>8.4532435538716086</v>
      </c>
      <c r="G401" s="306">
        <f t="shared" ca="1" si="185"/>
        <v>21.372344606324695</v>
      </c>
      <c r="H401" s="307">
        <f t="shared" ca="1" si="186"/>
        <v>-56.016360921327667</v>
      </c>
      <c r="I401" s="304">
        <f t="shared" ca="1" si="187"/>
        <v>59.955064880624903</v>
      </c>
      <c r="J401" s="306">
        <f t="shared" ca="1" si="188"/>
        <v>571.09263201234796</v>
      </c>
      <c r="K401" s="307">
        <f t="shared" ca="1" si="189"/>
        <v>1163.0771255922732</v>
      </c>
      <c r="L401" s="304">
        <f t="shared" ca="1" si="174"/>
        <v>1295.7218815836891</v>
      </c>
      <c r="M401" s="306">
        <f t="shared" ca="1" si="190"/>
        <v>-1.2063064685627676</v>
      </c>
      <c r="N401" s="304">
        <f t="shared" ca="1" si="191"/>
        <v>-69.116269447977302</v>
      </c>
      <c r="P401" s="310">
        <f t="shared" ca="1" si="192"/>
        <v>23</v>
      </c>
      <c r="Q401" s="304">
        <f t="shared" ca="1" si="193"/>
        <v>0</v>
      </c>
      <c r="R401" s="306">
        <f t="shared" ca="1" si="194"/>
        <v>0</v>
      </c>
      <c r="S401" s="307">
        <f t="shared" ca="1" si="195"/>
        <v>8.0499999999999989</v>
      </c>
      <c r="T401" s="304">
        <f t="shared" ca="1" si="175"/>
        <v>78.970499999999987</v>
      </c>
      <c r="U401" s="311">
        <f t="shared" ca="1" si="176"/>
        <v>0</v>
      </c>
      <c r="V401" s="306">
        <f t="shared" ca="1" si="177"/>
        <v>1.0903532782217595</v>
      </c>
      <c r="W401" s="304">
        <f t="shared" ca="1" si="178"/>
        <v>12.178709598541962</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7.6711230722491335</v>
      </c>
      <c r="AH401" s="304">
        <f t="shared" ca="1" si="202"/>
        <v>-1.4735421817949466</v>
      </c>
    </row>
    <row r="402" spans="1:34" x14ac:dyDescent="0.3">
      <c r="A402" s="347">
        <f t="shared" ca="1" si="180"/>
        <v>0.1</v>
      </c>
      <c r="B402" s="304">
        <f t="shared" ca="1" si="181"/>
        <v>21.800000000000043</v>
      </c>
      <c r="D402" s="306">
        <f t="shared" ca="1" si="182"/>
        <v>-0.53930157085536434</v>
      </c>
      <c r="E402" s="307">
        <f t="shared" ca="1" si="183"/>
        <v>-8.3965045695766527</v>
      </c>
      <c r="F402" s="304">
        <f t="shared" ca="1" si="184"/>
        <v>8.4138062237758167</v>
      </c>
      <c r="G402" s="306">
        <f t="shared" ca="1" si="185"/>
        <v>21.31841444923916</v>
      </c>
      <c r="H402" s="307">
        <f t="shared" ca="1" si="186"/>
        <v>-56.856011378285331</v>
      </c>
      <c r="I402" s="304">
        <f t="shared" ca="1" si="187"/>
        <v>60.721337472730617</v>
      </c>
      <c r="J402" s="306">
        <f t="shared" ca="1" si="188"/>
        <v>573.22716996512611</v>
      </c>
      <c r="K402" s="307">
        <f t="shared" ca="1" si="189"/>
        <v>1157.4335069772926</v>
      </c>
      <c r="L402" s="304">
        <f t="shared" ca="1" si="174"/>
        <v>1291.6043169097811</v>
      </c>
      <c r="M402" s="306">
        <f t="shared" ca="1" si="190"/>
        <v>-1.2120655917744645</v>
      </c>
      <c r="N402" s="304">
        <f t="shared" ca="1" si="191"/>
        <v>-69.446242901703371</v>
      </c>
      <c r="P402" s="310">
        <f t="shared" ca="1" si="192"/>
        <v>23</v>
      </c>
      <c r="Q402" s="304">
        <f t="shared" ca="1" si="193"/>
        <v>0</v>
      </c>
      <c r="R402" s="306">
        <f t="shared" ca="1" si="194"/>
        <v>0</v>
      </c>
      <c r="S402" s="307">
        <f t="shared" ca="1" si="195"/>
        <v>8.0499999999999989</v>
      </c>
      <c r="T402" s="304">
        <f t="shared" ca="1" si="175"/>
        <v>78.970499999999987</v>
      </c>
      <c r="U402" s="311">
        <f t="shared" ca="1" si="176"/>
        <v>0</v>
      </c>
      <c r="V402" s="306">
        <f t="shared" ca="1" si="177"/>
        <v>1.0909708848353838</v>
      </c>
      <c r="W402" s="304">
        <f t="shared" ca="1" si="178"/>
        <v>12.499081648673895</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7.6526560740358818</v>
      </c>
      <c r="AH402" s="304">
        <f t="shared" ca="1" si="202"/>
        <v>-1.5128831799431011</v>
      </c>
    </row>
    <row r="403" spans="1:34" x14ac:dyDescent="0.3">
      <c r="A403" s="347">
        <f t="shared" ca="1" si="180"/>
        <v>0.1</v>
      </c>
      <c r="B403" s="304">
        <f t="shared" ca="1" si="181"/>
        <v>21.900000000000045</v>
      </c>
      <c r="D403" s="306">
        <f t="shared" ca="1" si="182"/>
        <v>-0.54512461978480564</v>
      </c>
      <c r="E403" s="307">
        <f t="shared" ca="1" si="183"/>
        <v>-8.3561577520754824</v>
      </c>
      <c r="F403" s="304">
        <f t="shared" ca="1" si="184"/>
        <v>8.3739198245903168</v>
      </c>
      <c r="G403" s="306">
        <f t="shared" ca="1" si="185"/>
        <v>21.263901987260681</v>
      </c>
      <c r="H403" s="307">
        <f t="shared" ca="1" si="186"/>
        <v>-57.691627153492881</v>
      </c>
      <c r="I403" s="304">
        <f t="shared" ca="1" si="187"/>
        <v>61.485586695919764</v>
      </c>
      <c r="J403" s="306">
        <f t="shared" ca="1" si="188"/>
        <v>575.35628578695105</v>
      </c>
      <c r="K403" s="307">
        <f t="shared" ca="1" si="189"/>
        <v>1151.7061250507038</v>
      </c>
      <c r="L403" s="304">
        <f t="shared" ca="1" si="174"/>
        <v>1287.42450422301</v>
      </c>
      <c r="M403" s="306">
        <f t="shared" ca="1" si="190"/>
        <v>-1.2176671844976583</v>
      </c>
      <c r="N403" s="304">
        <f t="shared" ca="1" si="191"/>
        <v>-69.767190523293564</v>
      </c>
      <c r="P403" s="310">
        <f t="shared" ca="1" si="192"/>
        <v>23</v>
      </c>
      <c r="Q403" s="304">
        <f t="shared" ca="1" si="193"/>
        <v>0</v>
      </c>
      <c r="R403" s="306">
        <f t="shared" ca="1" si="194"/>
        <v>0</v>
      </c>
      <c r="S403" s="307">
        <f t="shared" ca="1" si="195"/>
        <v>8.0499999999999989</v>
      </c>
      <c r="T403" s="304">
        <f t="shared" ca="1" si="175"/>
        <v>78.970499999999987</v>
      </c>
      <c r="U403" s="311">
        <f t="shared" ca="1" si="176"/>
        <v>0</v>
      </c>
      <c r="V403" s="306">
        <f t="shared" ca="1" si="177"/>
        <v>1.0915979949942474</v>
      </c>
      <c r="W403" s="304">
        <f t="shared" ca="1" si="178"/>
        <v>12.823059539713917</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7.6328458322881527</v>
      </c>
      <c r="AH403" s="304">
        <f t="shared" ca="1" si="202"/>
        <v>-1.5526809501458256</v>
      </c>
    </row>
    <row r="404" spans="1:34" x14ac:dyDescent="0.3">
      <c r="A404" s="347">
        <f t="shared" ca="1" si="180"/>
        <v>0.1</v>
      </c>
      <c r="B404" s="304">
        <f t="shared" ca="1" si="181"/>
        <v>22.000000000000046</v>
      </c>
      <c r="D404" s="306">
        <f t="shared" ca="1" si="182"/>
        <v>-0.55089067207028319</v>
      </c>
      <c r="E404" s="307">
        <f t="shared" ca="1" si="183"/>
        <v>-8.3153646656922824</v>
      </c>
      <c r="F404" s="304">
        <f t="shared" ca="1" si="184"/>
        <v>8.3335928659863008</v>
      </c>
      <c r="G404" s="306">
        <f t="shared" ca="1" si="185"/>
        <v>21.208812920053653</v>
      </c>
      <c r="H404" s="307">
        <f t="shared" ca="1" si="186"/>
        <v>-58.523163620062107</v>
      </c>
      <c r="I404" s="304">
        <f t="shared" ca="1" si="187"/>
        <v>62.247686106219206</v>
      </c>
      <c r="J404" s="306">
        <f t="shared" ca="1" si="188"/>
        <v>577.47992153231678</v>
      </c>
      <c r="K404" s="307">
        <f t="shared" ca="1" si="189"/>
        <v>1145.895385512026</v>
      </c>
      <c r="L404" s="304">
        <f t="shared" ca="1" si="174"/>
        <v>1283.1832660655784</v>
      </c>
      <c r="M404" s="306">
        <f t="shared" ca="1" si="190"/>
        <v>-1.2231174490802079</v>
      </c>
      <c r="N404" s="304">
        <f t="shared" ca="1" si="191"/>
        <v>-70.079467681103282</v>
      </c>
      <c r="P404" s="310">
        <f t="shared" ca="1" si="192"/>
        <v>23</v>
      </c>
      <c r="Q404" s="304">
        <f t="shared" ca="1" si="193"/>
        <v>0</v>
      </c>
      <c r="R404" s="306">
        <f t="shared" ca="1" si="194"/>
        <v>0</v>
      </c>
      <c r="S404" s="307">
        <f t="shared" ca="1" si="195"/>
        <v>8.0499999999999989</v>
      </c>
      <c r="T404" s="304">
        <f t="shared" ca="1" si="175"/>
        <v>78.970499999999987</v>
      </c>
      <c r="U404" s="311">
        <f t="shared" ca="1" si="176"/>
        <v>0</v>
      </c>
      <c r="V404" s="306">
        <f t="shared" ca="1" si="177"/>
        <v>1.0922345794149739</v>
      </c>
      <c r="W404" s="304">
        <f t="shared" ca="1" si="178"/>
        <v>13.150571688941058</v>
      </c>
      <c r="Y404" s="314" t="str">
        <f t="shared" ca="1" si="196"/>
        <v/>
      </c>
      <c r="Z404" s="315" t="str">
        <f t="shared" ca="1" si="197"/>
        <v/>
      </c>
      <c r="AA404" s="316" t="str">
        <f t="shared" ca="1" si="198"/>
        <v/>
      </c>
      <c r="AC404" s="310">
        <f t="shared" ca="1" si="199"/>
        <v>22.000000000000046</v>
      </c>
      <c r="AD404" s="323">
        <f t="shared" ca="1" si="200"/>
        <v>577.47992153231678</v>
      </c>
      <c r="AE404" s="324" t="e">
        <f t="shared" ca="1" si="179"/>
        <v>#N/A</v>
      </c>
      <c r="AG404" s="306">
        <f t="shared" ca="1" si="201"/>
        <v>7.6117486687804057</v>
      </c>
      <c r="AH404" s="304">
        <f t="shared" ca="1" si="202"/>
        <v>-1.5929266508961391</v>
      </c>
    </row>
    <row r="405" spans="1:34" x14ac:dyDescent="0.3">
      <c r="A405" s="347">
        <f t="shared" ca="1" si="180"/>
        <v>0.1</v>
      </c>
      <c r="B405" s="304">
        <f t="shared" ca="1" si="181"/>
        <v>22.100000000000048</v>
      </c>
      <c r="D405" s="306">
        <f t="shared" ca="1" si="182"/>
        <v>-0.55659833353459542</v>
      </c>
      <c r="E405" s="307">
        <f t="shared" ca="1" si="183"/>
        <v>-8.2741339679459713</v>
      </c>
      <c r="F405" s="304">
        <f t="shared" ca="1" si="184"/>
        <v>8.2928339320410149</v>
      </c>
      <c r="G405" s="306">
        <f t="shared" ca="1" si="185"/>
        <v>21.153153086700193</v>
      </c>
      <c r="H405" s="307">
        <f t="shared" ca="1" si="186"/>
        <v>-59.350577016856704</v>
      </c>
      <c r="I405" s="304">
        <f t="shared" ca="1" si="187"/>
        <v>63.007514454572899</v>
      </c>
      <c r="J405" s="306">
        <f t="shared" ca="1" si="188"/>
        <v>579.59801983265447</v>
      </c>
      <c r="K405" s="307">
        <f t="shared" ca="1" si="189"/>
        <v>1140.00169848018</v>
      </c>
      <c r="L405" s="304">
        <f t="shared" ca="1" si="174"/>
        <v>1278.8814398260809</v>
      </c>
      <c r="M405" s="306">
        <f t="shared" ca="1" si="190"/>
        <v>-1.2284222836558254</v>
      </c>
      <c r="N405" s="304">
        <f t="shared" ca="1" si="191"/>
        <v>-70.38341231330125</v>
      </c>
      <c r="P405" s="310">
        <f t="shared" ca="1" si="192"/>
        <v>23</v>
      </c>
      <c r="Q405" s="304">
        <f t="shared" ca="1" si="193"/>
        <v>0</v>
      </c>
      <c r="R405" s="306">
        <f t="shared" ca="1" si="194"/>
        <v>0</v>
      </c>
      <c r="S405" s="307">
        <f t="shared" ca="1" si="195"/>
        <v>8.0499999999999989</v>
      </c>
      <c r="T405" s="304">
        <f t="shared" ca="1" si="175"/>
        <v>78.970499999999987</v>
      </c>
      <c r="U405" s="311">
        <f t="shared" ca="1" si="176"/>
        <v>0</v>
      </c>
      <c r="V405" s="306">
        <f t="shared" ca="1" si="177"/>
        <v>1.0928806084733078</v>
      </c>
      <c r="W405" s="304">
        <f t="shared" ca="1" si="178"/>
        <v>13.481546133608354</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7.5894179469856109</v>
      </c>
      <c r="AH405" s="304">
        <f t="shared" ca="1" si="202"/>
        <v>-1.6336113899305664</v>
      </c>
    </row>
    <row r="406" spans="1:34" x14ac:dyDescent="0.3">
      <c r="A406" s="347">
        <f t="shared" ca="1" si="180"/>
        <v>0.1</v>
      </c>
      <c r="B406" s="304">
        <f t="shared" ca="1" si="181"/>
        <v>22.200000000000049</v>
      </c>
      <c r="D406" s="306">
        <f t="shared" ca="1" si="182"/>
        <v>-0.56224627460950305</v>
      </c>
      <c r="E406" s="307">
        <f t="shared" ca="1" si="183"/>
        <v>-8.2324743854081568</v>
      </c>
      <c r="F406" s="304">
        <f t="shared" ca="1" si="184"/>
        <v>8.251651675859426</v>
      </c>
      <c r="G406" s="306">
        <f t="shared" ca="1" si="185"/>
        <v>21.096928459239244</v>
      </c>
      <c r="H406" s="307">
        <f t="shared" ca="1" si="186"/>
        <v>-60.173824455397522</v>
      </c>
      <c r="I406" s="304">
        <f t="shared" ca="1" si="187"/>
        <v>63.76495542226354</v>
      </c>
      <c r="J406" s="306">
        <f t="shared" ca="1" si="188"/>
        <v>581.71052390995146</v>
      </c>
      <c r="K406" s="307">
        <f t="shared" ca="1" si="189"/>
        <v>1134.0254784065673</v>
      </c>
      <c r="L406" s="304">
        <f t="shared" ca="1" si="174"/>
        <v>1274.5198779551592</v>
      </c>
      <c r="M406" s="306">
        <f t="shared" ca="1" si="190"/>
        <v>-1.2335872993161454</v>
      </c>
      <c r="N406" s="304">
        <f t="shared" ca="1" si="191"/>
        <v>-70.679345911756556</v>
      </c>
      <c r="P406" s="310">
        <f t="shared" ca="1" si="192"/>
        <v>23</v>
      </c>
      <c r="Q406" s="304">
        <f t="shared" ca="1" si="193"/>
        <v>0</v>
      </c>
      <c r="R406" s="306">
        <f t="shared" ca="1" si="194"/>
        <v>0</v>
      </c>
      <c r="S406" s="307">
        <f t="shared" ca="1" si="195"/>
        <v>8.0499999999999989</v>
      </c>
      <c r="T406" s="304">
        <f t="shared" ca="1" si="175"/>
        <v>78.970499999999987</v>
      </c>
      <c r="U406" s="311">
        <f t="shared" ca="1" si="176"/>
        <v>0</v>
      </c>
      <c r="V406" s="306">
        <f t="shared" ca="1" si="177"/>
        <v>1.0935360522095117</v>
      </c>
      <c r="W406" s="304">
        <f t="shared" ca="1" si="178"/>
        <v>13.815910559494105</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7.5659042839235031</v>
      </c>
      <c r="AH406" s="304">
        <f t="shared" ca="1" si="202"/>
        <v>-1.6747262277774355</v>
      </c>
    </row>
    <row r="407" spans="1:34" x14ac:dyDescent="0.3">
      <c r="A407" s="347">
        <f t="shared" ca="1" si="180"/>
        <v>0.1</v>
      </c>
      <c r="B407" s="304">
        <f t="shared" ca="1" si="181"/>
        <v>22.30000000000005</v>
      </c>
      <c r="D407" s="306">
        <f t="shared" ca="1" si="182"/>
        <v>-0.56783322777354772</v>
      </c>
      <c r="E407" s="307">
        <f t="shared" ca="1" si="183"/>
        <v>-8.1903947084522972</v>
      </c>
      <c r="F407" s="304">
        <f t="shared" ca="1" si="184"/>
        <v>8.2100548143606886</v>
      </c>
      <c r="G407" s="306">
        <f t="shared" ca="1" si="185"/>
        <v>21.040145136461888</v>
      </c>
      <c r="H407" s="307">
        <f t="shared" ca="1" si="186"/>
        <v>-60.992863926242755</v>
      </c>
      <c r="I407" s="304">
        <f t="shared" ca="1" si="187"/>
        <v>64.519897375062101</v>
      </c>
      <c r="J407" s="306">
        <f t="shared" ca="1" si="188"/>
        <v>583.81737758973657</v>
      </c>
      <c r="K407" s="307">
        <f t="shared" ca="1" si="189"/>
        <v>1127.9671439874853</v>
      </c>
      <c r="L407" s="304">
        <f t="shared" ca="1" si="174"/>
        <v>1270.099448189409</v>
      </c>
      <c r="M407" s="306">
        <f t="shared" ca="1" si="190"/>
        <v>-1.2386178362387434</v>
      </c>
      <c r="N407" s="304">
        <f t="shared" ca="1" si="191"/>
        <v>-70.967574446106156</v>
      </c>
      <c r="P407" s="310">
        <f t="shared" ca="1" si="192"/>
        <v>23</v>
      </c>
      <c r="Q407" s="304">
        <f t="shared" ca="1" si="193"/>
        <v>0</v>
      </c>
      <c r="R407" s="306">
        <f t="shared" ca="1" si="194"/>
        <v>0</v>
      </c>
      <c r="S407" s="307">
        <f t="shared" ca="1" si="195"/>
        <v>8.0499999999999989</v>
      </c>
      <c r="T407" s="304">
        <f t="shared" ca="1" si="175"/>
        <v>78.970499999999987</v>
      </c>
      <c r="U407" s="311">
        <f t="shared" ca="1" si="176"/>
        <v>0</v>
      </c>
      <c r="V407" s="306">
        <f t="shared" ca="1" si="177"/>
        <v>1.0942008803338297</v>
      </c>
      <c r="W407" s="304">
        <f t="shared" ca="1" si="178"/>
        <v>14.153592329418275</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7.5412557452492592</v>
      </c>
      <c r="AH407" s="304">
        <f t="shared" ca="1" si="202"/>
        <v>-1.7162621813036159</v>
      </c>
    </row>
    <row r="408" spans="1:34" x14ac:dyDescent="0.3">
      <c r="A408" s="347">
        <f t="shared" ca="1" si="180"/>
        <v>0.1</v>
      </c>
      <c r="B408" s="304">
        <f t="shared" ca="1" si="181"/>
        <v>22.400000000000052</v>
      </c>
      <c r="D408" s="306">
        <f t="shared" ca="1" si="182"/>
        <v>-0.57335798516312841</v>
      </c>
      <c r="E408" s="307">
        <f t="shared" ca="1" si="183"/>
        <v>-8.1479037861542025</v>
      </c>
      <c r="F408" s="304">
        <f t="shared" ca="1" si="184"/>
        <v>8.168052123216178</v>
      </c>
      <c r="G408" s="306">
        <f t="shared" ca="1" si="185"/>
        <v>20.982809337945575</v>
      </c>
      <c r="H408" s="307">
        <f t="shared" ca="1" si="186"/>
        <v>-61.807654304858175</v>
      </c>
      <c r="I408" s="304">
        <f t="shared" ca="1" si="187"/>
        <v>65.272233134629531</v>
      </c>
      <c r="J408" s="306">
        <f t="shared" ca="1" si="188"/>
        <v>585.91852531345694</v>
      </c>
      <c r="K408" s="307">
        <f t="shared" ca="1" si="189"/>
        <v>1121.8271180759302</v>
      </c>
      <c r="L408" s="304">
        <f t="shared" ca="1" si="174"/>
        <v>1265.621033783827</v>
      </c>
      <c r="M408" s="306">
        <f t="shared" ca="1" si="190"/>
        <v>-1.2435189788335299</v>
      </c>
      <c r="N408" s="304">
        <f t="shared" ca="1" si="191"/>
        <v>-71.24838923157921</v>
      </c>
      <c r="P408" s="310">
        <f t="shared" ca="1" si="192"/>
        <v>23</v>
      </c>
      <c r="Q408" s="304">
        <f t="shared" ca="1" si="193"/>
        <v>0</v>
      </c>
      <c r="R408" s="306">
        <f t="shared" ca="1" si="194"/>
        <v>0</v>
      </c>
      <c r="S408" s="307">
        <f t="shared" ca="1" si="195"/>
        <v>8.0499999999999989</v>
      </c>
      <c r="T408" s="304">
        <f t="shared" ca="1" si="175"/>
        <v>78.970499999999987</v>
      </c>
      <c r="U408" s="311">
        <f t="shared" ca="1" si="176"/>
        <v>0</v>
      </c>
      <c r="V408" s="306">
        <f t="shared" ca="1" si="177"/>
        <v>1.0948750622320029</v>
      </c>
      <c r="W408" s="304">
        <f t="shared" ca="1" si="178"/>
        <v>14.494518511702083</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7.515518024947462</v>
      </c>
      <c r="AH408" s="304">
        <f t="shared" ca="1" si="202"/>
        <v>-1.7582102272569289</v>
      </c>
    </row>
    <row r="409" spans="1:34" x14ac:dyDescent="0.3">
      <c r="A409" s="347">
        <f t="shared" ca="1" si="180"/>
        <v>0.1</v>
      </c>
      <c r="B409" s="304">
        <f t="shared" ca="1" si="181"/>
        <v>22.500000000000053</v>
      </c>
      <c r="D409" s="306">
        <f t="shared" ca="1" si="182"/>
        <v>-0.57881939634253088</v>
      </c>
      <c r="E409" s="307">
        <f t="shared" ca="1" si="183"/>
        <v>-8.1050105213323818</v>
      </c>
      <c r="F409" s="304">
        <f t="shared" ca="1" si="184"/>
        <v>8.1256524319276</v>
      </c>
      <c r="G409" s="306">
        <f t="shared" ca="1" si="185"/>
        <v>20.924927398311322</v>
      </c>
      <c r="H409" s="307">
        <f t="shared" ca="1" si="186"/>
        <v>-62.618155356991416</v>
      </c>
      <c r="I409" s="304">
        <f t="shared" ca="1" si="187"/>
        <v>66.021859765814781</v>
      </c>
      <c r="J409" s="306">
        <f t="shared" ca="1" si="188"/>
        <v>588.01391215026979</v>
      </c>
      <c r="K409" s="307">
        <f t="shared" ca="1" si="189"/>
        <v>1115.6058275928378</v>
      </c>
      <c r="L409" s="304">
        <f t="shared" ca="1" si="174"/>
        <v>1261.0855337531098</v>
      </c>
      <c r="M409" s="306">
        <f t="shared" ca="1" si="190"/>
        <v>-1.248295569967083</v>
      </c>
      <c r="N409" s="304">
        <f t="shared" ca="1" si="191"/>
        <v>-71.522067743991414</v>
      </c>
      <c r="P409" s="310">
        <f t="shared" ca="1" si="192"/>
        <v>23</v>
      </c>
      <c r="Q409" s="304">
        <f t="shared" ca="1" si="193"/>
        <v>0</v>
      </c>
      <c r="R409" s="306">
        <f t="shared" ca="1" si="194"/>
        <v>0</v>
      </c>
      <c r="S409" s="307">
        <f t="shared" ca="1" si="195"/>
        <v>8.0499999999999989</v>
      </c>
      <c r="T409" s="304">
        <f t="shared" ca="1" si="175"/>
        <v>78.970499999999987</v>
      </c>
      <c r="U409" s="311">
        <f t="shared" ca="1" si="176"/>
        <v>0</v>
      </c>
      <c r="V409" s="306">
        <f t="shared" ca="1" si="177"/>
        <v>1.0955585669708423</v>
      </c>
      <c r="W409" s="304">
        <f t="shared" ca="1" si="178"/>
        <v>14.838615908549638</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7.4887346108870716</v>
      </c>
      <c r="AH409" s="304">
        <f t="shared" ca="1" si="202"/>
        <v>-1.8005613058015011</v>
      </c>
    </row>
    <row r="410" spans="1:34" x14ac:dyDescent="0.3">
      <c r="A410" s="347">
        <f t="shared" ca="1" si="180"/>
        <v>0.1</v>
      </c>
      <c r="B410" s="304">
        <f t="shared" ca="1" si="181"/>
        <v>22.600000000000055</v>
      </c>
      <c r="D410" s="306">
        <f t="shared" ca="1" si="182"/>
        <v>-0.58421636621979145</v>
      </c>
      <c r="E410" s="307">
        <f t="shared" ca="1" si="183"/>
        <v>-8.0617238657181591</v>
      </c>
      <c r="F410" s="304">
        <f t="shared" ca="1" si="184"/>
        <v>8.0828646190350604</v>
      </c>
      <c r="G410" s="306">
        <f t="shared" ca="1" si="185"/>
        <v>20.866505761689343</v>
      </c>
      <c r="H410" s="307">
        <f t="shared" ca="1" si="186"/>
        <v>-63.424327743563232</v>
      </c>
      <c r="I410" s="304">
        <f t="shared" ca="1" si="187"/>
        <v>66.768678378604591</v>
      </c>
      <c r="J410" s="306">
        <f t="shared" ca="1" si="188"/>
        <v>590.10348380826986</v>
      </c>
      <c r="K410" s="307">
        <f t="shared" ca="1" si="189"/>
        <v>1109.3037034378101</v>
      </c>
      <c r="L410" s="304">
        <f t="shared" ca="1" si="174"/>
        <v>1256.4938631220998</v>
      </c>
      <c r="M410" s="306">
        <f t="shared" ca="1" si="190"/>
        <v>-1.2529522243215327</v>
      </c>
      <c r="N410" s="304">
        <f t="shared" ca="1" si="191"/>
        <v>-71.788874385152596</v>
      </c>
      <c r="P410" s="310">
        <f t="shared" ca="1" si="192"/>
        <v>23</v>
      </c>
      <c r="Q410" s="304">
        <f t="shared" ca="1" si="193"/>
        <v>0</v>
      </c>
      <c r="R410" s="306">
        <f t="shared" ca="1" si="194"/>
        <v>0</v>
      </c>
      <c r="S410" s="307">
        <f t="shared" ca="1" si="195"/>
        <v>8.0499999999999989</v>
      </c>
      <c r="T410" s="304">
        <f t="shared" ca="1" si="175"/>
        <v>78.970499999999987</v>
      </c>
      <c r="U410" s="311">
        <f t="shared" ca="1" si="176"/>
        <v>0</v>
      </c>
      <c r="V410" s="306">
        <f t="shared" ca="1" si="177"/>
        <v>1.0962513633038489</v>
      </c>
      <c r="W410" s="304">
        <f t="shared" ca="1" si="178"/>
        <v>15.185811084330917</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7.4609469373915562</v>
      </c>
      <c r="AH410" s="304">
        <f t="shared" ca="1" si="202"/>
        <v>-1.8433063240434335</v>
      </c>
    </row>
    <row r="411" spans="1:34" x14ac:dyDescent="0.3">
      <c r="A411" s="347">
        <f t="shared" ca="1" si="180"/>
        <v>0.1</v>
      </c>
      <c r="B411" s="304">
        <f t="shared" ca="1" si="181"/>
        <v>22.700000000000056</v>
      </c>
      <c r="D411" s="306">
        <f t="shared" ca="1" si="182"/>
        <v>-0.58954785309637137</v>
      </c>
      <c r="E411" s="307">
        <f t="shared" ca="1" si="183"/>
        <v>-8.018052815246671</v>
      </c>
      <c r="F411" s="304">
        <f t="shared" ca="1" si="184"/>
        <v>8.0396976074461666</v>
      </c>
      <c r="G411" s="306">
        <f t="shared" ca="1" si="185"/>
        <v>20.807550976379705</v>
      </c>
      <c r="H411" s="307">
        <f t="shared" ca="1" si="186"/>
        <v>-64.226133025087904</v>
      </c>
      <c r="I411" s="304">
        <f t="shared" ca="1" si="187"/>
        <v>67.512593943581564</v>
      </c>
      <c r="J411" s="306">
        <f t="shared" ca="1" si="188"/>
        <v>592.18718664517326</v>
      </c>
      <c r="K411" s="307">
        <f t="shared" ca="1" si="189"/>
        <v>1102.9211803993776</v>
      </c>
      <c r="L411" s="304">
        <f t="shared" ca="1" si="174"/>
        <v>1251.8469531856847</v>
      </c>
      <c r="M411" s="306">
        <f t="shared" ca="1" si="190"/>
        <v>-1.2574933409416567</v>
      </c>
      <c r="N411" s="304">
        <f t="shared" ca="1" si="191"/>
        <v>-72.049061201762413</v>
      </c>
      <c r="P411" s="310">
        <f t="shared" ca="1" si="192"/>
        <v>23</v>
      </c>
      <c r="Q411" s="304">
        <f t="shared" ca="1" si="193"/>
        <v>0</v>
      </c>
      <c r="R411" s="306">
        <f t="shared" ca="1" si="194"/>
        <v>0</v>
      </c>
      <c r="S411" s="307">
        <f t="shared" ca="1" si="195"/>
        <v>8.0499999999999989</v>
      </c>
      <c r="T411" s="304">
        <f t="shared" ca="1" si="175"/>
        <v>78.970499999999987</v>
      </c>
      <c r="U411" s="311">
        <f t="shared" ca="1" si="176"/>
        <v>0</v>
      </c>
      <c r="V411" s="306">
        <f t="shared" ca="1" si="177"/>
        <v>1.0969534196768802</v>
      </c>
      <c r="W411" s="304">
        <f t="shared" ca="1" si="178"/>
        <v>15.53603039374612</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7.4321945258840509</v>
      </c>
      <c r="AH411" s="304">
        <f t="shared" ca="1" si="202"/>
        <v>-1.8864361595442134</v>
      </c>
    </row>
    <row r="412" spans="1:34" x14ac:dyDescent="0.3">
      <c r="A412" s="347">
        <f t="shared" ca="1" si="180"/>
        <v>0.1</v>
      </c>
      <c r="B412" s="304">
        <f t="shared" ca="1" si="181"/>
        <v>22.800000000000058</v>
      </c>
      <c r="D412" s="306">
        <f t="shared" ca="1" si="182"/>
        <v>-0.59481286683962264</v>
      </c>
      <c r="E412" s="307">
        <f t="shared" ca="1" si="183"/>
        <v>-7.9740064054610649</v>
      </c>
      <c r="F412" s="304">
        <f t="shared" ca="1" si="184"/>
        <v>7.9961603598784876</v>
      </c>
      <c r="G412" s="306">
        <f t="shared" ca="1" si="185"/>
        <v>20.748069689695743</v>
      </c>
      <c r="H412" s="307">
        <f t="shared" ca="1" si="186"/>
        <v>-65.023533665634005</v>
      </c>
      <c r="I412" s="304">
        <f t="shared" ca="1" si="187"/>
        <v>68.253515119840614</v>
      </c>
      <c r="J412" s="306">
        <f t="shared" ca="1" si="188"/>
        <v>594.26496767847698</v>
      </c>
      <c r="K412" s="307">
        <f t="shared" ca="1" si="189"/>
        <v>1096.4586970648415</v>
      </c>
      <c r="L412" s="304">
        <f t="shared" ca="1" si="174"/>
        <v>1247.1457517784486</v>
      </c>
      <c r="M412" s="306">
        <f t="shared" ca="1" si="190"/>
        <v>-1.2619231150209147</v>
      </c>
      <c r="N412" s="304">
        <f t="shared" ca="1" si="191"/>
        <v>-72.302868560700347</v>
      </c>
      <c r="P412" s="310">
        <f t="shared" ca="1" si="192"/>
        <v>23</v>
      </c>
      <c r="Q412" s="304">
        <f t="shared" ca="1" si="193"/>
        <v>0</v>
      </c>
      <c r="R412" s="306">
        <f t="shared" ca="1" si="194"/>
        <v>0</v>
      </c>
      <c r="S412" s="307">
        <f t="shared" ca="1" si="195"/>
        <v>8.0499999999999989</v>
      </c>
      <c r="T412" s="304">
        <f t="shared" ca="1" si="175"/>
        <v>78.970499999999987</v>
      </c>
      <c r="U412" s="311">
        <f t="shared" ca="1" si="176"/>
        <v>0</v>
      </c>
      <c r="V412" s="306">
        <f t="shared" ca="1" si="177"/>
        <v>1.0976647042338623</v>
      </c>
      <c r="W412" s="304">
        <f t="shared" ca="1" si="178"/>
        <v>15.88920000985202</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7.4025151145801296</v>
      </c>
      <c r="AH412" s="304">
        <f t="shared" ca="1" si="202"/>
        <v>-1.929941663819394</v>
      </c>
    </row>
    <row r="413" spans="1:34" x14ac:dyDescent="0.3">
      <c r="A413" s="347">
        <f t="shared" ca="1" si="180"/>
        <v>0.1</v>
      </c>
      <c r="B413" s="304">
        <f t="shared" ca="1" si="181"/>
        <v>22.900000000000059</v>
      </c>
      <c r="D413" s="306">
        <f t="shared" ca="1" si="182"/>
        <v>-0.60001046716794282</v>
      </c>
      <c r="E413" s="307">
        <f t="shared" ca="1" si="183"/>
        <v>-7.9295937070230824</v>
      </c>
      <c r="F413" s="304">
        <f t="shared" ca="1" si="184"/>
        <v>7.952261874408511</v>
      </c>
      <c r="G413" s="306">
        <f t="shared" ca="1" si="185"/>
        <v>20.688068642978948</v>
      </c>
      <c r="H413" s="307">
        <f t="shared" ca="1" si="186"/>
        <v>-65.816493036336311</v>
      </c>
      <c r="I413" s="304">
        <f t="shared" ca="1" si="187"/>
        <v>68.991354094398773</v>
      </c>
      <c r="J413" s="306">
        <f t="shared" ca="1" si="188"/>
        <v>596.33677459511068</v>
      </c>
      <c r="K413" s="307">
        <f t="shared" ca="1" si="189"/>
        <v>1089.916695729743</v>
      </c>
      <c r="L413" s="304">
        <f t="shared" ca="1" si="174"/>
        <v>1242.3912235543767</v>
      </c>
      <c r="M413" s="306">
        <f t="shared" ca="1" si="190"/>
        <v>-1.2662455489742763</v>
      </c>
      <c r="N413" s="304">
        <f t="shared" ca="1" si="191"/>
        <v>-72.550525783452017</v>
      </c>
      <c r="P413" s="310">
        <f t="shared" ca="1" si="192"/>
        <v>23</v>
      </c>
      <c r="Q413" s="304">
        <f t="shared" ca="1" si="193"/>
        <v>0</v>
      </c>
      <c r="R413" s="306">
        <f t="shared" ca="1" si="194"/>
        <v>0</v>
      </c>
      <c r="S413" s="307">
        <f t="shared" ca="1" si="195"/>
        <v>8.0499999999999989</v>
      </c>
      <c r="T413" s="304">
        <f t="shared" ca="1" si="175"/>
        <v>78.970499999999987</v>
      </c>
      <c r="U413" s="311">
        <f t="shared" ca="1" si="176"/>
        <v>0</v>
      </c>
      <c r="V413" s="306">
        <f t="shared" ca="1" si="177"/>
        <v>1.0983851848225392</v>
      </c>
      <c r="W413" s="304">
        <f t="shared" ca="1" si="178"/>
        <v>16.245245951931182</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7.371944778120354</v>
      </c>
      <c r="AH413" s="304">
        <f t="shared" ca="1" si="202"/>
        <v>-1.9738136658201271</v>
      </c>
    </row>
    <row r="414" spans="1:34" x14ac:dyDescent="0.3">
      <c r="A414" s="347">
        <f t="shared" ca="1" si="180"/>
        <v>0.1</v>
      </c>
      <c r="B414" s="304">
        <f t="shared" ca="1" si="181"/>
        <v>23.00000000000006</v>
      </c>
      <c r="D414" s="306">
        <f t="shared" ca="1" si="182"/>
        <v>-0.60513976203934872</v>
      </c>
      <c r="E414" s="307">
        <f t="shared" ca="1" si="183"/>
        <v>-7.8848238213241935</v>
      </c>
      <c r="F414" s="304">
        <f t="shared" ca="1" si="184"/>
        <v>7.908011180121238</v>
      </c>
      <c r="G414" s="306">
        <f t="shared" ca="1" si="185"/>
        <v>20.627554666775012</v>
      </c>
      <c r="H414" s="307">
        <f t="shared" ca="1" si="186"/>
        <v>-66.604975418468726</v>
      </c>
      <c r="I414" s="304">
        <f t="shared" ca="1" si="187"/>
        <v>69.726026432212635</v>
      </c>
      <c r="J414" s="306">
        <f t="shared" ca="1" si="188"/>
        <v>598.40255576059837</v>
      </c>
      <c r="K414" s="307">
        <f t="shared" ca="1" si="189"/>
        <v>1083.2956223070028</v>
      </c>
      <c r="L414" s="304">
        <f t="shared" ca="1" si="174"/>
        <v>1237.5843502769144</v>
      </c>
      <c r="M414" s="306">
        <f t="shared" ca="1" si="190"/>
        <v>-1.2704644628429007</v>
      </c>
      <c r="N414" s="304">
        <f t="shared" ca="1" si="191"/>
        <v>-72.792251742253413</v>
      </c>
      <c r="P414" s="310">
        <f t="shared" ca="1" si="192"/>
        <v>23</v>
      </c>
      <c r="Q414" s="304">
        <f t="shared" ca="1" si="193"/>
        <v>0</v>
      </c>
      <c r="R414" s="306">
        <f t="shared" ca="1" si="194"/>
        <v>0</v>
      </c>
      <c r="S414" s="307">
        <f t="shared" ca="1" si="195"/>
        <v>8.0499999999999989</v>
      </c>
      <c r="T414" s="304">
        <f t="shared" ca="1" si="175"/>
        <v>78.970499999999987</v>
      </c>
      <c r="U414" s="311">
        <f t="shared" ca="1" si="176"/>
        <v>0</v>
      </c>
      <c r="V414" s="306">
        <f t="shared" ca="1" si="177"/>
        <v>1.0991148290002615</v>
      </c>
      <c r="W414" s="304">
        <f t="shared" ca="1" si="178"/>
        <v>16.604094113186171</v>
      </c>
      <c r="Y414" s="314" t="str">
        <f t="shared" ca="1" si="196"/>
        <v/>
      </c>
      <c r="Z414" s="315" t="str">
        <f t="shared" ca="1" si="197"/>
        <v/>
      </c>
      <c r="AA414" s="316" t="str">
        <f t="shared" ca="1" si="198"/>
        <v/>
      </c>
      <c r="AC414" s="310">
        <f t="shared" ca="1" si="199"/>
        <v>23.00000000000006</v>
      </c>
      <c r="AD414" s="323">
        <f t="shared" ca="1" si="200"/>
        <v>598.40255576059837</v>
      </c>
      <c r="AE414" s="324" t="e">
        <f t="shared" ca="1" si="179"/>
        <v>#N/A</v>
      </c>
      <c r="AG414" s="306">
        <f t="shared" ca="1" si="201"/>
        <v>7.340518037960531</v>
      </c>
      <c r="AH414" s="304">
        <f t="shared" ca="1" si="202"/>
        <v>-2.0180429753951783</v>
      </c>
    </row>
    <row r="415" spans="1:34" x14ac:dyDescent="0.3">
      <c r="A415" s="347">
        <f t="shared" ca="1" si="180"/>
        <v>0.1</v>
      </c>
      <c r="B415" s="304">
        <f t="shared" ca="1" si="181"/>
        <v>23.100000000000062</v>
      </c>
      <c r="D415" s="306">
        <f t="shared" ca="1" si="182"/>
        <v>-0.61019990613499697</v>
      </c>
      <c r="E415" s="307">
        <f t="shared" ca="1" si="183"/>
        <v>-7.8397058761920819</v>
      </c>
      <c r="F415" s="304">
        <f t="shared" ca="1" si="184"/>
        <v>7.8634173328552146</v>
      </c>
      <c r="G415" s="306">
        <f t="shared" ca="1" si="185"/>
        <v>20.566534676161513</v>
      </c>
      <c r="H415" s="307">
        <f t="shared" ca="1" si="186"/>
        <v>-67.388946006087934</v>
      </c>
      <c r="I415" s="304">
        <f t="shared" ca="1" si="187"/>
        <v>70.457450935988234</v>
      </c>
      <c r="J415" s="306">
        <f t="shared" ca="1" si="188"/>
        <v>600.46226022774522</v>
      </c>
      <c r="K415" s="307">
        <f t="shared" ca="1" si="189"/>
        <v>1076.5959262357749</v>
      </c>
      <c r="L415" s="304">
        <f t="shared" ca="1" si="174"/>
        <v>1232.7261311196735</v>
      </c>
      <c r="M415" s="306">
        <f t="shared" ca="1" si="190"/>
        <v>-1.2745835040730338</v>
      </c>
      <c r="N415" s="304">
        <f t="shared" ca="1" si="191"/>
        <v>-73.028255420380404</v>
      </c>
      <c r="P415" s="310">
        <f t="shared" ca="1" si="192"/>
        <v>23</v>
      </c>
      <c r="Q415" s="304">
        <f t="shared" ca="1" si="193"/>
        <v>0</v>
      </c>
      <c r="R415" s="306">
        <f t="shared" ca="1" si="194"/>
        <v>0</v>
      </c>
      <c r="S415" s="307">
        <f t="shared" ca="1" si="195"/>
        <v>8.0499999999999989</v>
      </c>
      <c r="T415" s="304">
        <f t="shared" ca="1" si="175"/>
        <v>78.970499999999987</v>
      </c>
      <c r="U415" s="311">
        <f t="shared" ca="1" si="176"/>
        <v>0</v>
      </c>
      <c r="V415" s="306">
        <f t="shared" ca="1" si="177"/>
        <v>1.099853604039809</v>
      </c>
      <c r="W415" s="304">
        <f t="shared" ca="1" si="178"/>
        <v>16.965670288240489</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7.308267964269354</v>
      </c>
      <c r="AH415" s="304">
        <f t="shared" ca="1" si="202"/>
        <v>-2.0626203867312016</v>
      </c>
    </row>
    <row r="416" spans="1:34" x14ac:dyDescent="0.3">
      <c r="A416" s="347">
        <f t="shared" ca="1" si="180"/>
        <v>0.1</v>
      </c>
      <c r="B416" s="304">
        <f t="shared" ca="1" si="181"/>
        <v>23.200000000000063</v>
      </c>
      <c r="D416" s="306">
        <f t="shared" ca="1" si="182"/>
        <v>-0.61519009942985325</v>
      </c>
      <c r="E416" s="307">
        <f t="shared" ca="1" si="183"/>
        <v>-7.7942490216880973</v>
      </c>
      <c r="F416" s="304">
        <f t="shared" ca="1" si="184"/>
        <v>7.8184894110385779</v>
      </c>
      <c r="G416" s="306">
        <f t="shared" ca="1" si="185"/>
        <v>20.505015666218529</v>
      </c>
      <c r="H416" s="307">
        <f t="shared" ca="1" si="186"/>
        <v>-68.168370908256747</v>
      </c>
      <c r="I416" s="304">
        <f t="shared" ca="1" si="187"/>
        <v>71.185549515035234</v>
      </c>
      <c r="J416" s="306">
        <f t="shared" ca="1" si="188"/>
        <v>602.51583774486426</v>
      </c>
      <c r="K416" s="307">
        <f t="shared" ca="1" si="189"/>
        <v>1069.8180603900576</v>
      </c>
      <c r="L416" s="304">
        <f t="shared" ca="1" si="174"/>
        <v>1227.8175829780826</v>
      </c>
      <c r="M416" s="306">
        <f t="shared" ca="1" si="190"/>
        <v>-1.2786061567089035</v>
      </c>
      <c r="N416" s="304">
        <f t="shared" ca="1" si="191"/>
        <v>-73.258736438862925</v>
      </c>
      <c r="P416" s="310">
        <f t="shared" ca="1" si="192"/>
        <v>23</v>
      </c>
      <c r="Q416" s="304">
        <f t="shared" ca="1" si="193"/>
        <v>0</v>
      </c>
      <c r="R416" s="306">
        <f t="shared" ca="1" si="194"/>
        <v>0</v>
      </c>
      <c r="S416" s="307">
        <f t="shared" ca="1" si="195"/>
        <v>8.0499999999999989</v>
      </c>
      <c r="T416" s="304">
        <f t="shared" ca="1" si="175"/>
        <v>78.970499999999987</v>
      </c>
      <c r="U416" s="311">
        <f t="shared" ca="1" si="176"/>
        <v>0</v>
      </c>
      <c r="V416" s="306">
        <f t="shared" ca="1" si="177"/>
        <v>1.1006014769352441</v>
      </c>
      <c r="W416" s="304">
        <f t="shared" ca="1" si="178"/>
        <v>17.329900200429407</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7.2752262700205765</v>
      </c>
      <c r="AH416" s="304">
        <f t="shared" ca="1" si="202"/>
        <v>-2.1075366817690049</v>
      </c>
    </row>
    <row r="417" spans="1:34" x14ac:dyDescent="0.3">
      <c r="A417" s="347">
        <f t="shared" ca="1" si="180"/>
        <v>0.1</v>
      </c>
      <c r="B417" s="304">
        <f t="shared" ca="1" si="181"/>
        <v>23.300000000000065</v>
      </c>
      <c r="D417" s="306">
        <f t="shared" ca="1" si="182"/>
        <v>-0.62010958584338549</v>
      </c>
      <c r="E417" s="307">
        <f t="shared" ca="1" si="183"/>
        <v>-7.7484624259917467</v>
      </c>
      <c r="F417" s="304">
        <f t="shared" ca="1" si="184"/>
        <v>7.7732365116121844</v>
      </c>
      <c r="G417" s="306">
        <f t="shared" ca="1" si="185"/>
        <v>20.443004707634191</v>
      </c>
      <c r="H417" s="307">
        <f t="shared" ca="1" si="186"/>
        <v>-68.943217150855929</v>
      </c>
      <c r="I417" s="304">
        <f t="shared" ca="1" si="187"/>
        <v>71.910247062476628</v>
      </c>
      <c r="J417" s="306">
        <f t="shared" ca="1" si="188"/>
        <v>604.56323876355691</v>
      </c>
      <c r="K417" s="307">
        <f t="shared" ca="1" si="189"/>
        <v>1062.962480987102</v>
      </c>
      <c r="L417" s="304">
        <f t="shared" ca="1" si="174"/>
        <v>1222.8597407922696</v>
      </c>
      <c r="M417" s="306">
        <f t="shared" ca="1" si="190"/>
        <v>-1.2825357500369201</v>
      </c>
      <c r="N417" s="304">
        <f t="shared" ca="1" si="191"/>
        <v>-73.483885551761034</v>
      </c>
      <c r="P417" s="310">
        <f t="shared" ca="1" si="192"/>
        <v>23</v>
      </c>
      <c r="Q417" s="304">
        <f t="shared" ca="1" si="193"/>
        <v>0</v>
      </c>
      <c r="R417" s="306">
        <f t="shared" ca="1" si="194"/>
        <v>0</v>
      </c>
      <c r="S417" s="307">
        <f t="shared" ca="1" si="195"/>
        <v>8.0499999999999989</v>
      </c>
      <c r="T417" s="304">
        <f t="shared" ca="1" si="175"/>
        <v>78.970499999999987</v>
      </c>
      <c r="U417" s="311">
        <f t="shared" ca="1" si="176"/>
        <v>0</v>
      </c>
      <c r="V417" s="306">
        <f t="shared" ca="1" si="177"/>
        <v>1.1013584144077937</v>
      </c>
      <c r="W417" s="304">
        <f t="shared" ca="1" si="178"/>
        <v>17.696709528863735</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7.2414233979092755</v>
      </c>
      <c r="AH417" s="304">
        <f t="shared" ca="1" si="202"/>
        <v>-2.1527826335937155</v>
      </c>
    </row>
    <row r="418" spans="1:34" x14ac:dyDescent="0.3">
      <c r="A418" s="347">
        <f t="shared" ca="1" si="180"/>
        <v>0.1</v>
      </c>
      <c r="B418" s="304">
        <f t="shared" ca="1" si="181"/>
        <v>23.400000000000066</v>
      </c>
      <c r="D418" s="306">
        <f t="shared" ca="1" si="182"/>
        <v>-0.62495765196373787</v>
      </c>
      <c r="E418" s="307">
        <f t="shared" ca="1" si="183"/>
        <v>-7.7023552713689467</v>
      </c>
      <c r="F418" s="304">
        <f t="shared" ca="1" si="184"/>
        <v>7.727667746036512</v>
      </c>
      <c r="G418" s="306">
        <f t="shared" ca="1" si="185"/>
        <v>20.380508942437817</v>
      </c>
      <c r="H418" s="307">
        <f t="shared" ca="1" si="186"/>
        <v>-69.713452677992819</v>
      </c>
      <c r="I418" s="304">
        <f t="shared" ca="1" si="187"/>
        <v>72.631471340180994</v>
      </c>
      <c r="J418" s="306">
        <f t="shared" ca="1" si="188"/>
        <v>606.60441444606056</v>
      </c>
      <c r="K418" s="307">
        <f t="shared" ca="1" si="189"/>
        <v>1056.0296474956597</v>
      </c>
      <c r="L418" s="304">
        <f t="shared" ca="1" si="174"/>
        <v>1217.8536578814612</v>
      </c>
      <c r="M418" s="306">
        <f t="shared" ca="1" si="190"/>
        <v>-1.2863754667161451</v>
      </c>
      <c r="N418" s="304">
        <f t="shared" ca="1" si="191"/>
        <v>-73.703885112006617</v>
      </c>
      <c r="P418" s="310">
        <f t="shared" ca="1" si="192"/>
        <v>23</v>
      </c>
      <c r="Q418" s="304">
        <f t="shared" ca="1" si="193"/>
        <v>0</v>
      </c>
      <c r="R418" s="306">
        <f t="shared" ca="1" si="194"/>
        <v>0</v>
      </c>
      <c r="S418" s="307">
        <f t="shared" ca="1" si="195"/>
        <v>8.0499999999999989</v>
      </c>
      <c r="T418" s="304">
        <f t="shared" ca="1" si="175"/>
        <v>78.970499999999987</v>
      </c>
      <c r="U418" s="311">
        <f t="shared" ca="1" si="176"/>
        <v>0</v>
      </c>
      <c r="V418" s="306">
        <f t="shared" ca="1" si="177"/>
        <v>1.1021243829117573</v>
      </c>
      <c r="W418" s="304">
        <f t="shared" ca="1" si="178"/>
        <v>18.066023935250588</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7.206888600669112</v>
      </c>
      <c r="AH418" s="304">
        <f t="shared" ca="1" si="202"/>
        <v>-2.1983490097967375</v>
      </c>
    </row>
    <row r="419" spans="1:34" x14ac:dyDescent="0.3">
      <c r="A419" s="347">
        <f t="shared" ca="1" si="180"/>
        <v>0.1</v>
      </c>
      <c r="B419" s="304">
        <f t="shared" ca="1" si="181"/>
        <v>23.500000000000068</v>
      </c>
      <c r="D419" s="306">
        <f t="shared" ca="1" si="182"/>
        <v>-0.62973362583938997</v>
      </c>
      <c r="E419" s="307">
        <f t="shared" ca="1" si="183"/>
        <v>-7.6559367502211195</v>
      </c>
      <c r="F419" s="304">
        <f t="shared" ca="1" si="184"/>
        <v>7.6817922363794207</v>
      </c>
      <c r="G419" s="306">
        <f t="shared" ca="1" si="185"/>
        <v>20.317535579853878</v>
      </c>
      <c r="H419" s="307">
        <f t="shared" ca="1" si="186"/>
        <v>-70.479046353014937</v>
      </c>
      <c r="I419" s="304">
        <f t="shared" ca="1" si="187"/>
        <v>73.349152870834558</v>
      </c>
      <c r="J419" s="306">
        <f t="shared" ca="1" si="188"/>
        <v>608.63931667217514</v>
      </c>
      <c r="K419" s="307">
        <f t="shared" ca="1" si="189"/>
        <v>1049.0200225441092</v>
      </c>
      <c r="L419" s="304">
        <f t="shared" ca="1" si="174"/>
        <v>1212.8004062901759</v>
      </c>
      <c r="M419" s="306">
        <f t="shared" ca="1" si="190"/>
        <v>-1.2901283504277623</v>
      </c>
      <c r="N419" s="304">
        <f t="shared" ca="1" si="191"/>
        <v>-73.918909509685676</v>
      </c>
      <c r="P419" s="310">
        <f t="shared" ca="1" si="192"/>
        <v>23</v>
      </c>
      <c r="Q419" s="304">
        <f t="shared" ca="1" si="193"/>
        <v>0</v>
      </c>
      <c r="R419" s="306">
        <f t="shared" ca="1" si="194"/>
        <v>0</v>
      </c>
      <c r="S419" s="307">
        <f t="shared" ca="1" si="195"/>
        <v>8.0499999999999989</v>
      </c>
      <c r="T419" s="304">
        <f t="shared" ca="1" si="175"/>
        <v>78.970499999999987</v>
      </c>
      <c r="U419" s="311">
        <f t="shared" ca="1" si="176"/>
        <v>0</v>
      </c>
      <c r="V419" s="306">
        <f t="shared" ca="1" si="177"/>
        <v>1.1028993486404397</v>
      </c>
      <c r="W419" s="304">
        <f t="shared" ca="1" si="178"/>
        <v>18.437769090455344</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7.1716500153193046</v>
      </c>
      <c r="AH419" s="304">
        <f t="shared" ca="1" si="202"/>
        <v>-2.2442265758075268</v>
      </c>
    </row>
    <row r="420" spans="1:34" x14ac:dyDescent="0.3">
      <c r="A420" s="347">
        <f t="shared" ca="1" si="180"/>
        <v>0.1</v>
      </c>
      <c r="B420" s="304">
        <f t="shared" ca="1" si="181"/>
        <v>23.600000000000069</v>
      </c>
      <c r="D420" s="306">
        <f t="shared" ca="1" si="182"/>
        <v>-0.63443687583280162</v>
      </c>
      <c r="E420" s="307">
        <f t="shared" ca="1" si="183"/>
        <v>-7.6092160612126962</v>
      </c>
      <c r="F420" s="304">
        <f t="shared" ca="1" si="184"/>
        <v>7.6356191114823</v>
      </c>
      <c r="G420" s="306">
        <f t="shared" ca="1" si="185"/>
        <v>20.254091892270598</v>
      </c>
      <c r="H420" s="307">
        <f t="shared" ca="1" si="186"/>
        <v>-71.239967959136209</v>
      </c>
      <c r="I420" s="304">
        <f t="shared" ca="1" si="187"/>
        <v>74.063224836617096</v>
      </c>
      <c r="J420" s="306">
        <f t="shared" ca="1" si="188"/>
        <v>610.66789804578139</v>
      </c>
      <c r="K420" s="307">
        <f t="shared" ca="1" si="189"/>
        <v>1041.9340718285016</v>
      </c>
      <c r="L420" s="304">
        <f t="shared" ca="1" si="174"/>
        <v>1207.7010771464825</v>
      </c>
      <c r="M420" s="306">
        <f t="shared" ca="1" si="190"/>
        <v>-1.2937973130741804</v>
      </c>
      <c r="N420" s="304">
        <f t="shared" ca="1" si="191"/>
        <v>-74.129125584516586</v>
      </c>
      <c r="P420" s="310">
        <f t="shared" ca="1" si="192"/>
        <v>23</v>
      </c>
      <c r="Q420" s="304">
        <f t="shared" ca="1" si="193"/>
        <v>0</v>
      </c>
      <c r="R420" s="306">
        <f t="shared" ca="1" si="194"/>
        <v>0</v>
      </c>
      <c r="S420" s="307">
        <f t="shared" ca="1" si="195"/>
        <v>8.0499999999999989</v>
      </c>
      <c r="T420" s="304">
        <f t="shared" ca="1" si="175"/>
        <v>78.970499999999987</v>
      </c>
      <c r="U420" s="311">
        <f t="shared" ca="1" si="176"/>
        <v>0</v>
      </c>
      <c r="V420" s="306">
        <f t="shared" ca="1" si="177"/>
        <v>1.1036832775321017</v>
      </c>
      <c r="W420" s="304">
        <f t="shared" ca="1" si="178"/>
        <v>18.811870700789733</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7.1357347318257567</v>
      </c>
      <c r="AH420" s="304">
        <f t="shared" ca="1" si="202"/>
        <v>-2.2904060981932108</v>
      </c>
    </row>
    <row r="421" spans="1:34" x14ac:dyDescent="0.3">
      <c r="A421" s="347">
        <f t="shared" ca="1" si="180"/>
        <v>0.1</v>
      </c>
      <c r="B421" s="304">
        <f t="shared" ca="1" si="181"/>
        <v>23.70000000000007</v>
      </c>
      <c r="D421" s="306">
        <f t="shared" ca="1" si="182"/>
        <v>-0.63906680953100059</v>
      </c>
      <c r="E421" s="307">
        <f t="shared" ca="1" si="183"/>
        <v>-7.5622024054749151</v>
      </c>
      <c r="F421" s="304">
        <f t="shared" ca="1" si="184"/>
        <v>7.5891575032024949</v>
      </c>
      <c r="G421" s="306">
        <f t="shared" ca="1" si="185"/>
        <v>20.190185211317498</v>
      </c>
      <c r="H421" s="307">
        <f t="shared" ca="1" si="186"/>
        <v>-71.996188199683701</v>
      </c>
      <c r="I421" s="304">
        <f t="shared" ca="1" si="187"/>
        <v>74.773622983987991</v>
      </c>
      <c r="J421" s="306">
        <f t="shared" ca="1" si="188"/>
        <v>612.6901119009608</v>
      </c>
      <c r="K421" s="307">
        <f t="shared" ca="1" si="189"/>
        <v>1034.7722640205607</v>
      </c>
      <c r="L421" s="304">
        <f t="shared" ca="1" si="174"/>
        <v>1202.5567810325836</v>
      </c>
      <c r="M421" s="306">
        <f t="shared" ca="1" si="190"/>
        <v>-1.2973851415564175</v>
      </c>
      <c r="N421" s="304">
        <f t="shared" ca="1" si="191"/>
        <v>-74.334693014165595</v>
      </c>
      <c r="P421" s="310">
        <f t="shared" ca="1" si="192"/>
        <v>23</v>
      </c>
      <c r="Q421" s="304">
        <f t="shared" ca="1" si="193"/>
        <v>0</v>
      </c>
      <c r="R421" s="306">
        <f t="shared" ca="1" si="194"/>
        <v>0</v>
      </c>
      <c r="S421" s="307">
        <f t="shared" ca="1" si="195"/>
        <v>8.0499999999999989</v>
      </c>
      <c r="T421" s="304">
        <f t="shared" ca="1" si="175"/>
        <v>78.970499999999987</v>
      </c>
      <c r="U421" s="311">
        <f t="shared" ca="1" si="176"/>
        <v>0</v>
      </c>
      <c r="V421" s="306">
        <f t="shared" ca="1" si="177"/>
        <v>1.1044761352759329</v>
      </c>
      <c r="W421" s="304">
        <f t="shared" ca="1" si="178"/>
        <v>19.18825453401163</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7.0991688566205067</v>
      </c>
      <c r="AH421" s="304">
        <f t="shared" ca="1" si="202"/>
        <v>-2.3368783479241908</v>
      </c>
    </row>
    <row r="422" spans="1:34" x14ac:dyDescent="0.3">
      <c r="A422" s="347">
        <f t="shared" ca="1" si="180"/>
        <v>0.1</v>
      </c>
      <c r="B422" s="304">
        <f t="shared" ca="1" si="181"/>
        <v>23.800000000000072</v>
      </c>
      <c r="D422" s="306">
        <f t="shared" ca="1" si="182"/>
        <v>-0.64362287270849228</v>
      </c>
      <c r="E422" s="307">
        <f t="shared" ca="1" si="183"/>
        <v>-7.5149049828841132</v>
      </c>
      <c r="F422" s="304">
        <f t="shared" ca="1" si="184"/>
        <v>7.5424165427301881</v>
      </c>
      <c r="G422" s="306">
        <f t="shared" ca="1" si="185"/>
        <v>20.125822924046648</v>
      </c>
      <c r="H422" s="307">
        <f t="shared" ca="1" si="186"/>
        <v>-72.747678697972106</v>
      </c>
      <c r="I422" s="304">
        <f t="shared" ca="1" si="187"/>
        <v>75.48028553412783</v>
      </c>
      <c r="J422" s="306">
        <f t="shared" ca="1" si="188"/>
        <v>614.70591230772902</v>
      </c>
      <c r="K422" s="307">
        <f t="shared" ca="1" si="189"/>
        <v>1027.5350706756778</v>
      </c>
      <c r="L422" s="304">
        <f t="shared" ca="1" si="174"/>
        <v>1197.3686483679735</v>
      </c>
      <c r="M422" s="306">
        <f t="shared" ca="1" si="190"/>
        <v>-1.3008945041565403</v>
      </c>
      <c r="N422" s="304">
        <f t="shared" ca="1" si="191"/>
        <v>-74.535764679933692</v>
      </c>
      <c r="P422" s="310">
        <f t="shared" ca="1" si="192"/>
        <v>23</v>
      </c>
      <c r="Q422" s="304">
        <f t="shared" ca="1" si="193"/>
        <v>0</v>
      </c>
      <c r="R422" s="306">
        <f t="shared" ca="1" si="194"/>
        <v>0</v>
      </c>
      <c r="S422" s="307">
        <f t="shared" ca="1" si="195"/>
        <v>8.0499999999999989</v>
      </c>
      <c r="T422" s="304">
        <f t="shared" ca="1" si="175"/>
        <v>78.970499999999987</v>
      </c>
      <c r="U422" s="311">
        <f t="shared" ca="1" si="176"/>
        <v>0</v>
      </c>
      <c r="V422" s="306">
        <f t="shared" ca="1" si="177"/>
        <v>1.1052778873180349</v>
      </c>
      <c r="W422" s="304">
        <f t="shared" ca="1" si="178"/>
        <v>19.566846445022197</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7.0619775713865973</v>
      </c>
      <c r="AH422" s="304">
        <f t="shared" ca="1" si="202"/>
        <v>-2.3836341036039297</v>
      </c>
    </row>
    <row r="423" spans="1:34" x14ac:dyDescent="0.3">
      <c r="A423" s="347">
        <f t="shared" ca="1" si="180"/>
        <v>0.1</v>
      </c>
      <c r="B423" s="304">
        <f t="shared" ca="1" si="181"/>
        <v>23.900000000000073</v>
      </c>
      <c r="D423" s="306">
        <f t="shared" ca="1" si="182"/>
        <v>-0.64810454833824527</v>
      </c>
      <c r="E423" s="307">
        <f t="shared" ca="1" si="183"/>
        <v>-7.467332988413026</v>
      </c>
      <c r="F423" s="304">
        <f t="shared" ca="1" si="184"/>
        <v>7.4954053569782424</v>
      </c>
      <c r="G423" s="306">
        <f t="shared" ca="1" si="185"/>
        <v>20.061012469212823</v>
      </c>
      <c r="H423" s="307">
        <f t="shared" ca="1" si="186"/>
        <v>-73.494411996813412</v>
      </c>
      <c r="I423" s="304">
        <f t="shared" ca="1" si="187"/>
        <v>76.183153098616643</v>
      </c>
      <c r="J423" s="306">
        <f t="shared" ca="1" si="188"/>
        <v>616.71525407739205</v>
      </c>
      <c r="K423" s="307">
        <f t="shared" ca="1" si="189"/>
        <v>1020.2229661409385</v>
      </c>
      <c r="L423" s="304">
        <f t="shared" ca="1" si="174"/>
        <v>1192.1378298054117</v>
      </c>
      <c r="M423" s="306">
        <f t="shared" ca="1" si="190"/>
        <v>-1.3043279565501886</v>
      </c>
      <c r="N423" s="304">
        <f t="shared" ca="1" si="191"/>
        <v>-74.732487011248821</v>
      </c>
      <c r="P423" s="310">
        <f t="shared" ca="1" si="192"/>
        <v>23</v>
      </c>
      <c r="Q423" s="304">
        <f t="shared" ca="1" si="193"/>
        <v>0</v>
      </c>
      <c r="R423" s="306">
        <f t="shared" ca="1" si="194"/>
        <v>0</v>
      </c>
      <c r="S423" s="307">
        <f t="shared" ca="1" si="195"/>
        <v>8.0499999999999989</v>
      </c>
      <c r="T423" s="304">
        <f t="shared" ca="1" si="175"/>
        <v>78.970499999999987</v>
      </c>
      <c r="U423" s="311">
        <f t="shared" ca="1" si="176"/>
        <v>0</v>
      </c>
      <c r="V423" s="306">
        <f t="shared" ca="1" si="177"/>
        <v>1.1060884988674224</v>
      </c>
      <c r="W423" s="304">
        <f t="shared" ca="1" si="178"/>
        <v>19.947572401247012</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7.024185187481752</v>
      </c>
      <c r="AH423" s="304">
        <f t="shared" ca="1" si="202"/>
        <v>-2.4306641546611427</v>
      </c>
    </row>
    <row r="424" spans="1:34" x14ac:dyDescent="0.3">
      <c r="A424" s="347">
        <f t="shared" ca="1" si="180"/>
        <v>0.1</v>
      </c>
      <c r="B424" s="304">
        <f t="shared" ca="1" si="181"/>
        <v>24.000000000000075</v>
      </c>
      <c r="D424" s="306">
        <f t="shared" ca="1" si="182"/>
        <v>-0.6525113556468688</v>
      </c>
      <c r="E424" s="307">
        <f t="shared" ca="1" si="183"/>
        <v>-7.4194956085538006</v>
      </c>
      <c r="F424" s="304">
        <f t="shared" ca="1" si="184"/>
        <v>7.4481330650436988</v>
      </c>
      <c r="G424" s="306">
        <f t="shared" ca="1" si="185"/>
        <v>19.995761333648137</v>
      </c>
      <c r="H424" s="307">
        <f t="shared" ca="1" si="186"/>
        <v>-74.236361557668786</v>
      </c>
      <c r="I424" s="304">
        <f t="shared" ca="1" si="187"/>
        <v>76.882168599963038</v>
      </c>
      <c r="J424" s="306">
        <f t="shared" ca="1" si="188"/>
        <v>618.71809276753504</v>
      </c>
      <c r="K424" s="307">
        <f t="shared" ca="1" si="189"/>
        <v>1012.8364274632144</v>
      </c>
      <c r="L424" s="304">
        <f t="shared" ca="1" si="174"/>
        <v>1186.8654966399281</v>
      </c>
      <c r="M424" s="306">
        <f t="shared" ca="1" si="190"/>
        <v>-1.3076879474725596</v>
      </c>
      <c r="N424" s="304">
        <f t="shared" ca="1" si="191"/>
        <v>-74.925000310302948</v>
      </c>
      <c r="P424" s="310">
        <f t="shared" ca="1" si="192"/>
        <v>23</v>
      </c>
      <c r="Q424" s="304">
        <f t="shared" ca="1" si="193"/>
        <v>0</v>
      </c>
      <c r="R424" s="306">
        <f t="shared" ca="1" si="194"/>
        <v>0</v>
      </c>
      <c r="S424" s="307">
        <f t="shared" ca="1" si="195"/>
        <v>8.0499999999999989</v>
      </c>
      <c r="T424" s="304">
        <f t="shared" ca="1" si="175"/>
        <v>78.970499999999987</v>
      </c>
      <c r="U424" s="311">
        <f t="shared" ca="1" si="176"/>
        <v>0</v>
      </c>
      <c r="V424" s="306">
        <f t="shared" ca="1" si="177"/>
        <v>1.106907934902035</v>
      </c>
      <c r="W424" s="304">
        <f t="shared" ca="1" si="178"/>
        <v>20.330358507688292</v>
      </c>
      <c r="Y424" s="314" t="str">
        <f t="shared" ca="1" si="196"/>
        <v/>
      </c>
      <c r="Z424" s="315" t="str">
        <f t="shared" ca="1" si="197"/>
        <v/>
      </c>
      <c r="AA424" s="316" t="str">
        <f t="shared" ca="1" si="198"/>
        <v/>
      </c>
      <c r="AC424" s="310">
        <f t="shared" ca="1" si="199"/>
        <v>24.000000000000075</v>
      </c>
      <c r="AD424" s="323">
        <f t="shared" ca="1" si="200"/>
        <v>618.71809276753504</v>
      </c>
      <c r="AE424" s="324" t="e">
        <f t="shared" ca="1" si="179"/>
        <v>#N/A</v>
      </c>
      <c r="AG424" s="306">
        <f t="shared" ca="1" si="201"/>
        <v>6.9858151963433244</v>
      </c>
      <c r="AH424" s="304">
        <f t="shared" ca="1" si="202"/>
        <v>-2.4779593045027348</v>
      </c>
    </row>
    <row r="425" spans="1:34" x14ac:dyDescent="0.3">
      <c r="A425" s="347">
        <f t="shared" ca="1" si="180"/>
        <v>0.1</v>
      </c>
      <c r="B425" s="304">
        <f t="shared" ca="1" si="181"/>
        <v>24.100000000000076</v>
      </c>
      <c r="D425" s="306">
        <f t="shared" ca="1" si="182"/>
        <v>-0.65684284921041891</v>
      </c>
      <c r="E425" s="307">
        <f t="shared" ca="1" si="183"/>
        <v>-7.3714020178116595</v>
      </c>
      <c r="F425" s="304">
        <f t="shared" ca="1" si="184"/>
        <v>7.4006087747398634</v>
      </c>
      <c r="G425" s="306">
        <f t="shared" ca="1" si="185"/>
        <v>19.930077048727096</v>
      </c>
      <c r="H425" s="307">
        <f t="shared" ca="1" si="186"/>
        <v>-74.973501759449945</v>
      </c>
      <c r="I425" s="304">
        <f t="shared" ca="1" si="187"/>
        <v>77.57727719662789</v>
      </c>
      <c r="J425" s="306">
        <f t="shared" ca="1" si="188"/>
        <v>620.71438468665383</v>
      </c>
      <c r="K425" s="307">
        <f t="shared" ca="1" si="189"/>
        <v>1005.3759342973584</v>
      </c>
      <c r="L425" s="304">
        <f t="shared" ca="1" si="174"/>
        <v>1181.5528412310716</v>
      </c>
      <c r="M425" s="306">
        <f t="shared" ca="1" si="190"/>
        <v>-1.3109768240596931</v>
      </c>
      <c r="N425" s="304">
        <f t="shared" ca="1" si="191"/>
        <v>-75.113439058085092</v>
      </c>
      <c r="P425" s="310">
        <f t="shared" ca="1" si="192"/>
        <v>23</v>
      </c>
      <c r="Q425" s="304">
        <f t="shared" ca="1" si="193"/>
        <v>0</v>
      </c>
      <c r="R425" s="306">
        <f t="shared" ca="1" si="194"/>
        <v>0</v>
      </c>
      <c r="S425" s="307">
        <f t="shared" ca="1" si="195"/>
        <v>8.0499999999999989</v>
      </c>
      <c r="T425" s="304">
        <f t="shared" ca="1" si="175"/>
        <v>78.970499999999987</v>
      </c>
      <c r="U425" s="311">
        <f t="shared" ca="1" si="176"/>
        <v>0</v>
      </c>
      <c r="V425" s="306">
        <f t="shared" ca="1" si="177"/>
        <v>1.107736160174754</v>
      </c>
      <c r="W425" s="304">
        <f t="shared" ca="1" si="178"/>
        <v>20.715131031635266</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6.9468903161887052</v>
      </c>
      <c r="AH425" s="304">
        <f t="shared" ca="1" si="202"/>
        <v>-2.5255103736258753</v>
      </c>
    </row>
    <row r="426" spans="1:34" x14ac:dyDescent="0.3">
      <c r="A426" s="347">
        <f t="shared" ca="1" si="180"/>
        <v>0.1</v>
      </c>
      <c r="B426" s="304">
        <f t="shared" ca="1" si="181"/>
        <v>24.200000000000077</v>
      </c>
      <c r="D426" s="306">
        <f t="shared" ca="1" si="182"/>
        <v>-0.66109861808755022</v>
      </c>
      <c r="E426" s="307">
        <f t="shared" ca="1" si="183"/>
        <v>-7.3230613752683658</v>
      </c>
      <c r="F426" s="304">
        <f t="shared" ca="1" si="184"/>
        <v>7.3528415791981185</v>
      </c>
      <c r="G426" s="306">
        <f t="shared" ca="1" si="185"/>
        <v>19.863967186918341</v>
      </c>
      <c r="H426" s="307">
        <f t="shared" ca="1" si="186"/>
        <v>-75.705807896976779</v>
      </c>
      <c r="I426" s="304">
        <f t="shared" ca="1" si="187"/>
        <v>78.268426212214848</v>
      </c>
      <c r="J426" s="306">
        <f t="shared" ca="1" si="188"/>
        <v>622.70408689843612</v>
      </c>
      <c r="K426" s="307">
        <f t="shared" ca="1" si="189"/>
        <v>997.84196881453704</v>
      </c>
      <c r="L426" s="304">
        <f t="shared" ca="1" si="174"/>
        <v>1176.2010774385844</v>
      </c>
      <c r="M426" s="306">
        <f t="shared" ca="1" si="190"/>
        <v>-1.3141968368854509</v>
      </c>
      <c r="N426" s="304">
        <f t="shared" ca="1" si="191"/>
        <v>-75.297932202979013</v>
      </c>
      <c r="P426" s="310">
        <f t="shared" ca="1" si="192"/>
        <v>23</v>
      </c>
      <c r="Q426" s="304">
        <f t="shared" ca="1" si="193"/>
        <v>0</v>
      </c>
      <c r="R426" s="306">
        <f t="shared" ca="1" si="194"/>
        <v>0</v>
      </c>
      <c r="S426" s="307">
        <f t="shared" ca="1" si="195"/>
        <v>8.0499999999999989</v>
      </c>
      <c r="T426" s="304">
        <f t="shared" ca="1" si="175"/>
        <v>78.970499999999987</v>
      </c>
      <c r="U426" s="311">
        <f t="shared" ca="1" si="176"/>
        <v>0</v>
      </c>
      <c r="V426" s="306">
        <f t="shared" ca="1" si="177"/>
        <v>1.1085731392194285</v>
      </c>
      <c r="W426" s="304">
        <f t="shared" ca="1" si="178"/>
        <v>21.101816427021173</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6.9074325352996961</v>
      </c>
      <c r="AH426" s="304">
        <f t="shared" ca="1" si="202"/>
        <v>-2.5733082026876111</v>
      </c>
    </row>
    <row r="427" spans="1:34" x14ac:dyDescent="0.3">
      <c r="A427" s="347">
        <f t="shared" ca="1" si="180"/>
        <v>0.1</v>
      </c>
      <c r="B427" s="304">
        <f t="shared" ca="1" si="181"/>
        <v>24.300000000000079</v>
      </c>
      <c r="D427" s="306">
        <f t="shared" ca="1" si="182"/>
        <v>-0.66527828498702768</v>
      </c>
      <c r="E427" s="307">
        <f t="shared" ca="1" si="183"/>
        <v>-7.2744828212147432</v>
      </c>
      <c r="F427" s="304">
        <f t="shared" ca="1" si="184"/>
        <v>7.3048405535387078</v>
      </c>
      <c r="G427" s="306">
        <f t="shared" ca="1" si="185"/>
        <v>19.797439358419638</v>
      </c>
      <c r="H427" s="307">
        <f t="shared" ca="1" si="186"/>
        <v>-76.433256179098251</v>
      </c>
      <c r="I427" s="304">
        <f t="shared" ca="1" si="187"/>
        <v>78.955565068524237</v>
      </c>
      <c r="J427" s="306">
        <f t="shared" ca="1" si="188"/>
        <v>624.687157225703</v>
      </c>
      <c r="K427" s="307">
        <f t="shared" ca="1" si="189"/>
        <v>990.23501561073329</v>
      </c>
      <c r="L427" s="304">
        <f t="shared" ca="1" si="174"/>
        <v>1170.8114410716694</v>
      </c>
      <c r="M427" s="306">
        <f t="shared" ca="1" si="190"/>
        <v>-1.3173501447132363</v>
      </c>
      <c r="N427" s="304">
        <f t="shared" ca="1" si="191"/>
        <v>-75.478603433016673</v>
      </c>
      <c r="P427" s="310">
        <f t="shared" ca="1" si="192"/>
        <v>23</v>
      </c>
      <c r="Q427" s="304">
        <f t="shared" ca="1" si="193"/>
        <v>0</v>
      </c>
      <c r="R427" s="306">
        <f t="shared" ca="1" si="194"/>
        <v>0</v>
      </c>
      <c r="S427" s="307">
        <f t="shared" ca="1" si="195"/>
        <v>8.0499999999999989</v>
      </c>
      <c r="T427" s="304">
        <f t="shared" ca="1" si="175"/>
        <v>78.970499999999987</v>
      </c>
      <c r="U427" s="311">
        <f t="shared" ca="1" si="176"/>
        <v>0</v>
      </c>
      <c r="V427" s="306">
        <f t="shared" ca="1" si="177"/>
        <v>1.1094188363569062</v>
      </c>
      <c r="W427" s="304">
        <f t="shared" ca="1" si="178"/>
        <v>21.490341358415019</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6.8674631521555298</v>
      </c>
      <c r="AH427" s="304">
        <f t="shared" ca="1" si="202"/>
        <v>-2.6213436555305809</v>
      </c>
    </row>
    <row r="428" spans="1:34" x14ac:dyDescent="0.3">
      <c r="A428" s="347">
        <f t="shared" ca="1" si="180"/>
        <v>0.1</v>
      </c>
      <c r="B428" s="304">
        <f t="shared" ca="1" si="181"/>
        <v>24.40000000000008</v>
      </c>
      <c r="D428" s="306">
        <f t="shared" ca="1" si="182"/>
        <v>-0.66938150546684161</v>
      </c>
      <c r="E428" s="307">
        <f t="shared" ca="1" si="183"/>
        <v>-7.2256754738516999</v>
      </c>
      <c r="F428" s="304">
        <f t="shared" ca="1" si="184"/>
        <v>7.256614751609944</v>
      </c>
      <c r="G428" s="306">
        <f t="shared" ca="1" si="185"/>
        <v>19.730501207872955</v>
      </c>
      <c r="H428" s="307">
        <f t="shared" ca="1" si="186"/>
        <v>-77.155823726483419</v>
      </c>
      <c r="I428" s="304">
        <f t="shared" ca="1" si="187"/>
        <v>79.638645222191329</v>
      </c>
      <c r="J428" s="306">
        <f t="shared" ca="1" si="188"/>
        <v>626.66355425401764</v>
      </c>
      <c r="K428" s="307">
        <f t="shared" ca="1" si="189"/>
        <v>982.55556161545417</v>
      </c>
      <c r="L428" s="304">
        <f t="shared" ca="1" si="174"/>
        <v>1165.3851903519876</v>
      </c>
      <c r="M428" s="306">
        <f t="shared" ca="1" si="190"/>
        <v>-1.3204388189802421</v>
      </c>
      <c r="N428" s="304">
        <f t="shared" ca="1" si="191"/>
        <v>-75.655571432806767</v>
      </c>
      <c r="P428" s="310">
        <f t="shared" ca="1" si="192"/>
        <v>23</v>
      </c>
      <c r="Q428" s="304">
        <f t="shared" ca="1" si="193"/>
        <v>0</v>
      </c>
      <c r="R428" s="306">
        <f t="shared" ca="1" si="194"/>
        <v>0</v>
      </c>
      <c r="S428" s="307">
        <f t="shared" ca="1" si="195"/>
        <v>8.0499999999999989</v>
      </c>
      <c r="T428" s="304">
        <f t="shared" ca="1" si="175"/>
        <v>78.970499999999987</v>
      </c>
      <c r="U428" s="311">
        <f t="shared" ca="1" si="176"/>
        <v>0</v>
      </c>
      <c r="V428" s="306">
        <f t="shared" ca="1" si="177"/>
        <v>1.110273215701066</v>
      </c>
      <c r="W428" s="304">
        <f t="shared" ca="1" si="178"/>
        <v>21.880632724637376</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6.8270028126578737</v>
      </c>
      <c r="AH428" s="304">
        <f t="shared" ca="1" si="202"/>
        <v>-2.6696076221633569</v>
      </c>
    </row>
    <row r="429" spans="1:34" x14ac:dyDescent="0.3">
      <c r="A429" s="347">
        <f t="shared" ca="1" si="180"/>
        <v>0.1</v>
      </c>
      <c r="B429" s="304">
        <f t="shared" ca="1" si="181"/>
        <v>24.500000000000082</v>
      </c>
      <c r="D429" s="306">
        <f t="shared" ca="1" si="182"/>
        <v>-0.67340796716240436</v>
      </c>
      <c r="E429" s="307">
        <f t="shared" ca="1" si="183"/>
        <v>-7.1766484260592573</v>
      </c>
      <c r="F429" s="304">
        <f t="shared" ca="1" si="184"/>
        <v>7.2081732027953258</v>
      </c>
      <c r="G429" s="306">
        <f t="shared" ca="1" si="185"/>
        <v>19.663160411156714</v>
      </c>
      <c r="H429" s="307">
        <f t="shared" ca="1" si="186"/>
        <v>-77.873488569089346</v>
      </c>
      <c r="I429" s="304">
        <f t="shared" ca="1" si="187"/>
        <v>80.317620104650572</v>
      </c>
      <c r="J429" s="306">
        <f t="shared" ca="1" si="188"/>
        <v>628.63323733496918</v>
      </c>
      <c r="K429" s="307">
        <f t="shared" ca="1" si="189"/>
        <v>974.80409600067549</v>
      </c>
      <c r="L429" s="304">
        <f t="shared" ca="1" si="174"/>
        <v>1159.9236063904975</v>
      </c>
      <c r="M429" s="306">
        <f t="shared" ca="1" si="190"/>
        <v>-1.323464848030832</v>
      </c>
      <c r="N429" s="304">
        <f t="shared" ca="1" si="191"/>
        <v>-75.828950126089552</v>
      </c>
      <c r="P429" s="310">
        <f t="shared" ca="1" si="192"/>
        <v>23</v>
      </c>
      <c r="Q429" s="304">
        <f t="shared" ca="1" si="193"/>
        <v>0</v>
      </c>
      <c r="R429" s="306">
        <f t="shared" ca="1" si="194"/>
        <v>0</v>
      </c>
      <c r="S429" s="307">
        <f t="shared" ca="1" si="195"/>
        <v>8.0499999999999989</v>
      </c>
      <c r="T429" s="304">
        <f t="shared" ca="1" si="175"/>
        <v>78.970499999999987</v>
      </c>
      <c r="U429" s="311">
        <f t="shared" ca="1" si="176"/>
        <v>0</v>
      </c>
      <c r="V429" s="306">
        <f t="shared" ca="1" si="177"/>
        <v>1.1111362411648444</v>
      </c>
      <c r="W429" s="304">
        <f t="shared" ca="1" si="178"/>
        <v>22.272617681989463</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6.7860715446712749</v>
      </c>
      <c r="AH429" s="304">
        <f t="shared" ca="1" si="202"/>
        <v>-2.7180910216940846</v>
      </c>
    </row>
    <row r="430" spans="1:34" x14ac:dyDescent="0.3">
      <c r="A430" s="347">
        <f t="shared" ca="1" si="180"/>
        <v>0.1</v>
      </c>
      <c r="B430" s="304">
        <f t="shared" ca="1" si="181"/>
        <v>24.600000000000083</v>
      </c>
      <c r="D430" s="306">
        <f t="shared" ca="1" si="182"/>
        <v>-0.67735738904151999</v>
      </c>
      <c r="E430" s="307">
        <f t="shared" ca="1" si="183"/>
        <v>-7.1274107422332715</v>
      </c>
      <c r="F430" s="304">
        <f t="shared" ca="1" si="184"/>
        <v>7.1595249088882555</v>
      </c>
      <c r="G430" s="306">
        <f t="shared" ca="1" si="185"/>
        <v>19.595424672252562</v>
      </c>
      <c r="H430" s="307">
        <f t="shared" ca="1" si="186"/>
        <v>-78.586229643312677</v>
      </c>
      <c r="I430" s="304">
        <f t="shared" ca="1" si="187"/>
        <v>80.992445065187411</v>
      </c>
      <c r="J430" s="306">
        <f t="shared" ca="1" si="188"/>
        <v>630.59616658913967</v>
      </c>
      <c r="K430" s="307">
        <f t="shared" ca="1" si="189"/>
        <v>966.98111009005538</v>
      </c>
      <c r="L430" s="304">
        <f t="shared" ca="1" si="174"/>
        <v>1154.427993678217</v>
      </c>
      <c r="M430" s="306">
        <f t="shared" ca="1" si="190"/>
        <v>-1.3264301411145711</v>
      </c>
      <c r="N430" s="304">
        <f t="shared" ca="1" si="191"/>
        <v>-75.998848904807133</v>
      </c>
      <c r="P430" s="310">
        <f t="shared" ca="1" si="192"/>
        <v>23</v>
      </c>
      <c r="Q430" s="304">
        <f t="shared" ca="1" si="193"/>
        <v>0</v>
      </c>
      <c r="R430" s="306">
        <f t="shared" ca="1" si="194"/>
        <v>0</v>
      </c>
      <c r="S430" s="307">
        <f t="shared" ca="1" si="195"/>
        <v>8.0499999999999989</v>
      </c>
      <c r="T430" s="304">
        <f t="shared" ca="1" si="175"/>
        <v>78.970499999999987</v>
      </c>
      <c r="U430" s="311">
        <f t="shared" ca="1" si="176"/>
        <v>0</v>
      </c>
      <c r="V430" s="306">
        <f t="shared" ca="1" si="177"/>
        <v>1.1120078764662722</v>
      </c>
      <c r="W430" s="304">
        <f t="shared" ca="1" si="178"/>
        <v>22.666223667085902</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6.7446887900844912</v>
      </c>
      <c r="AH430" s="304">
        <f t="shared" ca="1" si="202"/>
        <v>-2.7667848052160826</v>
      </c>
    </row>
    <row r="431" spans="1:34" x14ac:dyDescent="0.3">
      <c r="A431" s="347">
        <f t="shared" ca="1" si="180"/>
        <v>0.1</v>
      </c>
      <c r="B431" s="304">
        <f t="shared" ca="1" si="181"/>
        <v>24.700000000000085</v>
      </c>
      <c r="D431" s="306">
        <f t="shared" ca="1" si="182"/>
        <v>-0.6812295206840131</v>
      </c>
      <c r="E431" s="307">
        <f t="shared" ca="1" si="183"/>
        <v>-7.0779714551895143</v>
      </c>
      <c r="F431" s="304">
        <f t="shared" ca="1" si="184"/>
        <v>7.110678841034022</v>
      </c>
      <c r="G431" s="306">
        <f t="shared" ca="1" si="185"/>
        <v>19.527301720184163</v>
      </c>
      <c r="H431" s="307">
        <f t="shared" ca="1" si="186"/>
        <v>-79.29402678883163</v>
      </c>
      <c r="I431" s="304">
        <f t="shared" ca="1" si="187"/>
        <v>81.663077316857567</v>
      </c>
      <c r="J431" s="306">
        <f t="shared" ca="1" si="188"/>
        <v>632.55230290876148</v>
      </c>
      <c r="K431" s="307">
        <f t="shared" ca="1" si="189"/>
        <v>959.08709726844813</v>
      </c>
      <c r="L431" s="304">
        <f t="shared" ca="1" si="174"/>
        <v>1148.8996805909535</v>
      </c>
      <c r="M431" s="306">
        <f t="shared" ca="1" si="190"/>
        <v>-1.3293365321633921</v>
      </c>
      <c r="N431" s="304">
        <f t="shared" ca="1" si="191"/>
        <v>-76.165372845519187</v>
      </c>
      <c r="P431" s="310">
        <f t="shared" ca="1" si="192"/>
        <v>23</v>
      </c>
      <c r="Q431" s="304">
        <f t="shared" ca="1" si="193"/>
        <v>0</v>
      </c>
      <c r="R431" s="306">
        <f t="shared" ca="1" si="194"/>
        <v>0</v>
      </c>
      <c r="S431" s="307">
        <f t="shared" ca="1" si="195"/>
        <v>8.0499999999999989</v>
      </c>
      <c r="T431" s="304">
        <f t="shared" ca="1" si="175"/>
        <v>78.970499999999987</v>
      </c>
      <c r="U431" s="311">
        <f t="shared" ca="1" si="176"/>
        <v>0</v>
      </c>
      <c r="V431" s="306">
        <f t="shared" ca="1" si="177"/>
        <v>1.1128880851344933</v>
      </c>
      <c r="W431" s="304">
        <f t="shared" ca="1" si="178"/>
        <v>23.061378419281247</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6.7028734345816297</v>
      </c>
      <c r="AH431" s="304">
        <f t="shared" ca="1" si="202"/>
        <v>-2.8156799586442118</v>
      </c>
    </row>
    <row r="432" spans="1:34" x14ac:dyDescent="0.3">
      <c r="A432" s="347">
        <f t="shared" ca="1" si="180"/>
        <v>0.1</v>
      </c>
      <c r="B432" s="304">
        <f t="shared" ca="1" si="181"/>
        <v>24.800000000000086</v>
      </c>
      <c r="D432" s="306">
        <f t="shared" ca="1" si="182"/>
        <v>-0.68502414158405933</v>
      </c>
      <c r="E432" s="307">
        <f t="shared" ca="1" si="183"/>
        <v>-7.0283395631349679</v>
      </c>
      <c r="F432" s="304">
        <f t="shared" ca="1" si="184"/>
        <v>7.0616439367388955</v>
      </c>
      <c r="G432" s="306">
        <f t="shared" ca="1" si="185"/>
        <v>19.458799306025757</v>
      </c>
      <c r="H432" s="307">
        <f t="shared" ca="1" si="186"/>
        <v>-79.996860745145128</v>
      </c>
      <c r="I432" s="304">
        <f t="shared" ca="1" si="187"/>
        <v>82.329475885070039</v>
      </c>
      <c r="J432" s="306">
        <f t="shared" ca="1" si="188"/>
        <v>634.50160796007196</v>
      </c>
      <c r="K432" s="307">
        <f t="shared" ca="1" si="189"/>
        <v>951.12255289174925</v>
      </c>
      <c r="L432" s="304">
        <f t="shared" ca="1" si="174"/>
        <v>1143.340019908004</v>
      </c>
      <c r="M432" s="306">
        <f t="shared" ca="1" si="190"/>
        <v>-1.3321857833614248</v>
      </c>
      <c r="N432" s="304">
        <f t="shared" ca="1" si="191"/>
        <v>-76.328622913939043</v>
      </c>
      <c r="P432" s="310">
        <f t="shared" ca="1" si="192"/>
        <v>23</v>
      </c>
      <c r="Q432" s="304">
        <f t="shared" ca="1" si="193"/>
        <v>0</v>
      </c>
      <c r="R432" s="306">
        <f t="shared" ca="1" si="194"/>
        <v>0</v>
      </c>
      <c r="S432" s="307">
        <f t="shared" ca="1" si="195"/>
        <v>8.0499999999999989</v>
      </c>
      <c r="T432" s="304">
        <f t="shared" ca="1" si="175"/>
        <v>78.970499999999987</v>
      </c>
      <c r="U432" s="311">
        <f t="shared" ca="1" si="176"/>
        <v>0</v>
      </c>
      <c r="V432" s="306">
        <f t="shared" ca="1" si="177"/>
        <v>1.1137768305157876</v>
      </c>
      <c r="W432" s="304">
        <f t="shared" ca="1" si="178"/>
        <v>23.458010002681689</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6.6606438352969715</v>
      </c>
      <c r="AH432" s="304">
        <f t="shared" ca="1" si="202"/>
        <v>-2.8647675055007764</v>
      </c>
    </row>
    <row r="433" spans="1:34" x14ac:dyDescent="0.3">
      <c r="A433" s="347">
        <f t="shared" ca="1" si="180"/>
        <v>0.1</v>
      </c>
      <c r="B433" s="304">
        <f t="shared" ca="1" si="181"/>
        <v>24.900000000000087</v>
      </c>
      <c r="D433" s="306">
        <f t="shared" ca="1" si="182"/>
        <v>-0.68874106047346595</v>
      </c>
      <c r="E433" s="307">
        <f t="shared" ca="1" si="183"/>
        <v>-6.9785240267061255</v>
      </c>
      <c r="F433" s="304">
        <f t="shared" ca="1" si="184"/>
        <v>7.0124290969461356</v>
      </c>
      <c r="G433" s="306">
        <f t="shared" ca="1" si="185"/>
        <v>19.389925199978411</v>
      </c>
      <c r="H433" s="307">
        <f t="shared" ca="1" si="186"/>
        <v>-80.694713147815747</v>
      </c>
      <c r="I433" s="304">
        <f t="shared" ca="1" si="187"/>
        <v>82.991601558645826</v>
      </c>
      <c r="J433" s="306">
        <f t="shared" ca="1" si="188"/>
        <v>636.44404418537215</v>
      </c>
      <c r="K433" s="307">
        <f t="shared" ca="1" si="189"/>
        <v>943.08797419710118</v>
      </c>
      <c r="L433" s="304">
        <f t="shared" ca="1" si="174"/>
        <v>1137.7503893447913</v>
      </c>
      <c r="M433" s="306">
        <f t="shared" ca="1" si="190"/>
        <v>-1.3349795885201368</v>
      </c>
      <c r="N433" s="304">
        <f t="shared" ca="1" si="191"/>
        <v>-76.488696158315122</v>
      </c>
      <c r="P433" s="310">
        <f t="shared" ca="1" si="192"/>
        <v>23</v>
      </c>
      <c r="Q433" s="304">
        <f t="shared" ca="1" si="193"/>
        <v>0</v>
      </c>
      <c r="R433" s="306">
        <f t="shared" ca="1" si="194"/>
        <v>0</v>
      </c>
      <c r="S433" s="307">
        <f t="shared" ca="1" si="195"/>
        <v>8.0499999999999989</v>
      </c>
      <c r="T433" s="304">
        <f t="shared" ca="1" si="175"/>
        <v>78.970499999999987</v>
      </c>
      <c r="U433" s="311">
        <f t="shared" ca="1" si="176"/>
        <v>0</v>
      </c>
      <c r="V433" s="306">
        <f t="shared" ca="1" si="177"/>
        <v>1.1146740757795783</v>
      </c>
      <c r="W433" s="304">
        <f t="shared" ca="1" si="178"/>
        <v>23.856046827733259</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6.618017846513383</v>
      </c>
      <c r="AH433" s="304">
        <f t="shared" ca="1" si="202"/>
        <v>-2.9140385096498997</v>
      </c>
    </row>
    <row r="434" spans="1:34" x14ac:dyDescent="0.3">
      <c r="A434" s="347">
        <f t="shared" ca="1" si="180"/>
        <v>0.1</v>
      </c>
      <c r="B434" s="304">
        <f t="shared" ca="1" si="181"/>
        <v>25.000000000000089</v>
      </c>
      <c r="D434" s="306">
        <f t="shared" ca="1" si="182"/>
        <v>-0.69238011466425486</v>
      </c>
      <c r="E434" s="307">
        <f t="shared" ca="1" si="183"/>
        <v>-6.9285337660742474</v>
      </c>
      <c r="F434" s="304">
        <f t="shared" ca="1" si="184"/>
        <v>6.9630431831788524</v>
      </c>
      <c r="G434" s="306">
        <f t="shared" ca="1" si="185"/>
        <v>19.320687188511986</v>
      </c>
      <c r="H434" s="307">
        <f t="shared" ca="1" si="186"/>
        <v>-81.387566524423178</v>
      </c>
      <c r="I434" s="304">
        <f t="shared" ca="1" si="187"/>
        <v>83.649416843177931</v>
      </c>
      <c r="J434" s="306">
        <f t="shared" ca="1" si="188"/>
        <v>638.37957480479668</v>
      </c>
      <c r="K434" s="307">
        <f t="shared" ca="1" si="189"/>
        <v>934.98386021348927</v>
      </c>
      <c r="L434" s="304">
        <f t="shared" ca="1" si="174"/>
        <v>1132.1321920993462</v>
      </c>
      <c r="M434" s="306">
        <f t="shared" ca="1" si="190"/>
        <v>-1.3377195762705945</v>
      </c>
      <c r="N434" s="304">
        <f t="shared" ca="1" si="191"/>
        <v>-76.645685892333887</v>
      </c>
      <c r="P434" s="310">
        <f t="shared" ca="1" si="192"/>
        <v>23</v>
      </c>
      <c r="Q434" s="304">
        <f t="shared" ca="1" si="193"/>
        <v>0</v>
      </c>
      <c r="R434" s="306">
        <f t="shared" ca="1" si="194"/>
        <v>0</v>
      </c>
      <c r="S434" s="307">
        <f t="shared" ca="1" si="195"/>
        <v>8.0499999999999989</v>
      </c>
      <c r="T434" s="304">
        <f t="shared" ca="1" si="175"/>
        <v>78.970499999999987</v>
      </c>
      <c r="U434" s="311">
        <f t="shared" ca="1" si="176"/>
        <v>0</v>
      </c>
      <c r="V434" s="306">
        <f t="shared" ca="1" si="177"/>
        <v>1.1155797839244341</v>
      </c>
      <c r="W434" s="304">
        <f t="shared" ca="1" si="178"/>
        <v>24.255417672378531</v>
      </c>
      <c r="Y434" s="314" t="str">
        <f t="shared" ca="1" si="196"/>
        <v/>
      </c>
      <c r="Z434" s="315" t="str">
        <f t="shared" ca="1" si="197"/>
        <v/>
      </c>
      <c r="AA434" s="316" t="str">
        <f t="shared" ca="1" si="198"/>
        <v/>
      </c>
      <c r="AC434" s="310">
        <f t="shared" ca="1" si="199"/>
        <v>25.000000000000089</v>
      </c>
      <c r="AD434" s="323">
        <f t="shared" ca="1" si="200"/>
        <v>638.37957480479668</v>
      </c>
      <c r="AE434" s="324" t="e">
        <f t="shared" ca="1" si="179"/>
        <v>#N/A</v>
      </c>
      <c r="AG434" s="306">
        <f t="shared" ca="1" si="201"/>
        <v>6.5750128435517352</v>
      </c>
      <c r="AH434" s="304">
        <f t="shared" ca="1" si="202"/>
        <v>-2.9634840779792873</v>
      </c>
    </row>
    <row r="435" spans="1:34" x14ac:dyDescent="0.3">
      <c r="A435" s="347">
        <f t="shared" ca="1" si="180"/>
        <v>0.1</v>
      </c>
      <c r="B435" s="304">
        <f t="shared" ca="1" si="181"/>
        <v>25.10000000000009</v>
      </c>
      <c r="D435" s="306">
        <f t="shared" ca="1" si="182"/>
        <v>-0.69594116940906348</v>
      </c>
      <c r="E435" s="307">
        <f t="shared" ca="1" si="183"/>
        <v>-6.8783776581174845</v>
      </c>
      <c r="F435" s="304">
        <f t="shared" ca="1" si="184"/>
        <v>6.913495014749647</v>
      </c>
      <c r="G435" s="306">
        <f t="shared" ca="1" si="185"/>
        <v>19.251093071571081</v>
      </c>
      <c r="H435" s="307">
        <f t="shared" ca="1" si="186"/>
        <v>-82.075404290234928</v>
      </c>
      <c r="I435" s="304">
        <f t="shared" ca="1" si="187"/>
        <v>84.302885916531977</v>
      </c>
      <c r="J435" s="306">
        <f t="shared" ca="1" si="188"/>
        <v>640.30816381780085</v>
      </c>
      <c r="K435" s="307">
        <f t="shared" ca="1" si="189"/>
        <v>926.81071167275638</v>
      </c>
      <c r="L435" s="304">
        <f t="shared" ca="1" si="174"/>
        <v>1126.4868574124978</v>
      </c>
      <c r="M435" s="306">
        <f t="shared" ca="1" si="190"/>
        <v>-1.3404073130838827</v>
      </c>
      <c r="N435" s="304">
        <f t="shared" ca="1" si="191"/>
        <v>-76.799681868177245</v>
      </c>
      <c r="P435" s="310">
        <f t="shared" ca="1" si="192"/>
        <v>23</v>
      </c>
      <c r="Q435" s="304">
        <f t="shared" ca="1" si="193"/>
        <v>0</v>
      </c>
      <c r="R435" s="306">
        <f t="shared" ca="1" si="194"/>
        <v>0</v>
      </c>
      <c r="S435" s="307">
        <f t="shared" ca="1" si="195"/>
        <v>8.0499999999999989</v>
      </c>
      <c r="T435" s="304">
        <f t="shared" ca="1" si="175"/>
        <v>78.970499999999987</v>
      </c>
      <c r="U435" s="311">
        <f t="shared" ca="1" si="176"/>
        <v>0</v>
      </c>
      <c r="V435" s="306">
        <f t="shared" ca="1" si="177"/>
        <v>1.1164939177840567</v>
      </c>
      <c r="W435" s="304">
        <f t="shared" ca="1" si="178"/>
        <v>24.65605170277448</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6.5316457449869514</v>
      </c>
      <c r="AH435" s="304">
        <f t="shared" ca="1" si="202"/>
        <v>-3.0130953630283894</v>
      </c>
    </row>
    <row r="436" spans="1:34" x14ac:dyDescent="0.3">
      <c r="A436" s="347">
        <f t="shared" ca="1" si="180"/>
        <v>0.1</v>
      </c>
      <c r="B436" s="304">
        <f t="shared" ca="1" si="181"/>
        <v>25.200000000000092</v>
      </c>
      <c r="D436" s="306">
        <f t="shared" ca="1" si="182"/>
        <v>-0.69942411727800813</v>
      </c>
      <c r="E436" s="307">
        <f t="shared" ca="1" si="183"/>
        <v>-6.8280645336598358</v>
      </c>
      <c r="F436" s="304">
        <f t="shared" ca="1" si="184"/>
        <v>6.863793366036993</v>
      </c>
      <c r="G436" s="306">
        <f t="shared" ca="1" si="185"/>
        <v>19.181150659843279</v>
      </c>
      <c r="H436" s="307">
        <f t="shared" ca="1" si="186"/>
        <v>-82.758210743600912</v>
      </c>
      <c r="I436" s="304">
        <f t="shared" ca="1" si="187"/>
        <v>84.951974586338295</v>
      </c>
      <c r="J436" s="306">
        <f t="shared" ca="1" si="188"/>
        <v>642.22977600437162</v>
      </c>
      <c r="K436" s="307">
        <f t="shared" ca="1" si="189"/>
        <v>918.56903092106461</v>
      </c>
      <c r="L436" s="304">
        <f t="shared" ca="1" si="174"/>
        <v>1120.8158411415718</v>
      </c>
      <c r="M436" s="306">
        <f t="shared" ca="1" si="190"/>
        <v>-1.3430443061300037</v>
      </c>
      <c r="N436" s="304">
        <f t="shared" ca="1" si="191"/>
        <v>-76.950770440325329</v>
      </c>
      <c r="P436" s="310">
        <f t="shared" ca="1" si="192"/>
        <v>23</v>
      </c>
      <c r="Q436" s="304">
        <f t="shared" ca="1" si="193"/>
        <v>0</v>
      </c>
      <c r="R436" s="306">
        <f t="shared" ca="1" si="194"/>
        <v>0</v>
      </c>
      <c r="S436" s="307">
        <f t="shared" ca="1" si="195"/>
        <v>8.0499999999999989</v>
      </c>
      <c r="T436" s="304">
        <f t="shared" ca="1" si="175"/>
        <v>78.970499999999987</v>
      </c>
      <c r="U436" s="311">
        <f t="shared" ca="1" si="176"/>
        <v>0</v>
      </c>
      <c r="V436" s="306">
        <f t="shared" ca="1" si="177"/>
        <v>1.117416440033254</v>
      </c>
      <c r="W436" s="304">
        <f t="shared" ca="1" si="178"/>
        <v>25.057878493564402</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6.487933033315846</v>
      </c>
      <c r="AH436" s="304">
        <f t="shared" ca="1" si="202"/>
        <v>-3.0628635655620475</v>
      </c>
    </row>
    <row r="437" spans="1:34" x14ac:dyDescent="0.3">
      <c r="A437" s="347">
        <f t="shared" ca="1" si="180"/>
        <v>0.1</v>
      </c>
      <c r="B437" s="304">
        <f t="shared" ca="1" si="181"/>
        <v>25.300000000000093</v>
      </c>
      <c r="D437" s="306">
        <f t="shared" ca="1" si="182"/>
        <v>-0.70282887755075885</v>
      </c>
      <c r="E437" s="307">
        <f t="shared" ca="1" si="183"/>
        <v>-6.7776031747769299</v>
      </c>
      <c r="F437" s="304">
        <f t="shared" ca="1" si="184"/>
        <v>6.8139469638283492</v>
      </c>
      <c r="G437" s="306">
        <f t="shared" ca="1" si="185"/>
        <v>19.110867772088202</v>
      </c>
      <c r="H437" s="307">
        <f t="shared" ca="1" si="186"/>
        <v>-83.435971061078604</v>
      </c>
      <c r="I437" s="304">
        <f t="shared" ca="1" si="187"/>
        <v>85.596650249337358</v>
      </c>
      <c r="J437" s="306">
        <f t="shared" ca="1" si="188"/>
        <v>644.14437692596823</v>
      </c>
      <c r="K437" s="307">
        <f t="shared" ca="1" si="189"/>
        <v>910.25932183083069</v>
      </c>
      <c r="L437" s="304">
        <f t="shared" ca="1" si="174"/>
        <v>1115.1206263473327</v>
      </c>
      <c r="M437" s="306">
        <f t="shared" ca="1" si="190"/>
        <v>-1.3456320059849016</v>
      </c>
      <c r="N437" s="304">
        <f t="shared" ca="1" si="191"/>
        <v>-77.099034720657599</v>
      </c>
      <c r="P437" s="310">
        <f t="shared" ca="1" si="192"/>
        <v>23</v>
      </c>
      <c r="Q437" s="304">
        <f t="shared" ca="1" si="193"/>
        <v>0</v>
      </c>
      <c r="R437" s="306">
        <f t="shared" ca="1" si="194"/>
        <v>0</v>
      </c>
      <c r="S437" s="307">
        <f t="shared" ca="1" si="195"/>
        <v>8.0499999999999989</v>
      </c>
      <c r="T437" s="304">
        <f t="shared" ca="1" si="175"/>
        <v>78.970499999999987</v>
      </c>
      <c r="U437" s="311">
        <f t="shared" ca="1" si="176"/>
        <v>0</v>
      </c>
      <c r="V437" s="306">
        <f t="shared" ca="1" si="177"/>
        <v>1.118347313193901</v>
      </c>
      <c r="W437" s="304">
        <f t="shared" ca="1" si="178"/>
        <v>25.460828047697369</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6.4438907741919937</v>
      </c>
      <c r="AH437" s="304">
        <f t="shared" ca="1" si="202"/>
        <v>-3.1127799370887459</v>
      </c>
    </row>
    <row r="438" spans="1:34" x14ac:dyDescent="0.3">
      <c r="A438" s="347">
        <f t="shared" ca="1" si="180"/>
        <v>0.1</v>
      </c>
      <c r="B438" s="304">
        <f t="shared" ca="1" si="181"/>
        <v>25.400000000000095</v>
      </c>
      <c r="D438" s="306">
        <f t="shared" ca="1" si="182"/>
        <v>-0.70615539562268492</v>
      </c>
      <c r="E438" s="307">
        <f t="shared" ca="1" si="183"/>
        <v>-6.7270023121686373</v>
      </c>
      <c r="F438" s="304">
        <f t="shared" ca="1" si="184"/>
        <v>6.7639644847300335</v>
      </c>
      <c r="G438" s="306">
        <f t="shared" ca="1" si="185"/>
        <v>19.040252232525933</v>
      </c>
      <c r="H438" s="307">
        <f t="shared" ca="1" si="186"/>
        <v>-84.108671292295469</v>
      </c>
      <c r="I438" s="304">
        <f t="shared" ca="1" si="187"/>
        <v>86.236881852451134</v>
      </c>
      <c r="J438" s="306">
        <f t="shared" ca="1" si="188"/>
        <v>646.0519329261989</v>
      </c>
      <c r="K438" s="307">
        <f t="shared" ca="1" si="189"/>
        <v>901.88208971316203</v>
      </c>
      <c r="L438" s="304">
        <f t="shared" ca="1" si="174"/>
        <v>1109.4027238938338</v>
      </c>
      <c r="M438" s="306">
        <f t="shared" ca="1" si="190"/>
        <v>-1.3481718091946338</v>
      </c>
      <c r="N438" s="304">
        <f t="shared" ca="1" si="191"/>
        <v>-77.244554725369028</v>
      </c>
      <c r="P438" s="310">
        <f t="shared" ca="1" si="192"/>
        <v>23</v>
      </c>
      <c r="Q438" s="304">
        <f t="shared" ca="1" si="193"/>
        <v>0</v>
      </c>
      <c r="R438" s="306">
        <f t="shared" ca="1" si="194"/>
        <v>0</v>
      </c>
      <c r="S438" s="307">
        <f t="shared" ca="1" si="195"/>
        <v>8.0499999999999989</v>
      </c>
      <c r="T438" s="304">
        <f t="shared" ca="1" si="175"/>
        <v>78.970499999999987</v>
      </c>
      <c r="U438" s="311">
        <f t="shared" ca="1" si="176"/>
        <v>0</v>
      </c>
      <c r="V438" s="306">
        <f t="shared" ca="1" si="177"/>
        <v>1.1192864996408767</v>
      </c>
      <c r="W438" s="304">
        <f t="shared" ca="1" si="178"/>
        <v>25.864830815789183</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6.3995346343341302</v>
      </c>
      <c r="AH438" s="304">
        <f t="shared" ca="1" si="202"/>
        <v>-3.1628357823226549</v>
      </c>
    </row>
    <row r="439" spans="1:34" x14ac:dyDescent="0.3">
      <c r="A439" s="347">
        <f t="shared" ca="1" si="180"/>
        <v>0.1</v>
      </c>
      <c r="B439" s="304">
        <f t="shared" ca="1" si="181"/>
        <v>25.500000000000096</v>
      </c>
      <c r="D439" s="306">
        <f t="shared" ca="1" si="182"/>
        <v>-0.70940364242404186</v>
      </c>
      <c r="E439" s="307">
        <f t="shared" ca="1" si="183"/>
        <v>-6.6762706225985102</v>
      </c>
      <c r="F439" s="304">
        <f t="shared" ca="1" si="184"/>
        <v>6.7138545526438387</v>
      </c>
      <c r="G439" s="306">
        <f t="shared" ca="1" si="185"/>
        <v>18.96931186828353</v>
      </c>
      <c r="H439" s="307">
        <f t="shared" ca="1" si="186"/>
        <v>-84.776298354555323</v>
      </c>
      <c r="I439" s="304">
        <f t="shared" ca="1" si="187"/>
        <v>86.87263985546187</v>
      </c>
      <c r="J439" s="306">
        <f t="shared" ca="1" si="188"/>
        <v>647.95241113123939</v>
      </c>
      <c r="K439" s="307">
        <f t="shared" ca="1" si="189"/>
        <v>893.43784123081946</v>
      </c>
      <c r="L439" s="304">
        <f t="shared" ca="1" si="174"/>
        <v>1103.6636730607624</v>
      </c>
      <c r="M439" s="306">
        <f t="shared" ca="1" si="190"/>
        <v>-1.3506650607051303</v>
      </c>
      <c r="N439" s="304">
        <f t="shared" ca="1" si="191"/>
        <v>-77.387407514185099</v>
      </c>
      <c r="P439" s="310">
        <f t="shared" ca="1" si="192"/>
        <v>23</v>
      </c>
      <c r="Q439" s="304">
        <f t="shared" ca="1" si="193"/>
        <v>0</v>
      </c>
      <c r="R439" s="306">
        <f t="shared" ca="1" si="194"/>
        <v>0</v>
      </c>
      <c r="S439" s="307">
        <f t="shared" ca="1" si="195"/>
        <v>8.0499999999999989</v>
      </c>
      <c r="T439" s="304">
        <f t="shared" ca="1" si="175"/>
        <v>78.970499999999987</v>
      </c>
      <c r="U439" s="311">
        <f t="shared" ca="1" si="176"/>
        <v>0</v>
      </c>
      <c r="V439" s="306">
        <f t="shared" ca="1" si="177"/>
        <v>1.1202339616079882</v>
      </c>
      <c r="W439" s="304">
        <f t="shared" ca="1" si="178"/>
        <v>26.269817715019354</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6.354879898206149</v>
      </c>
      <c r="AH439" s="304">
        <f t="shared" ca="1" si="202"/>
        <v>-3.2130224615887188</v>
      </c>
    </row>
    <row r="440" spans="1:34" x14ac:dyDescent="0.3">
      <c r="A440" s="347">
        <f t="shared" ca="1" si="180"/>
        <v>0.1</v>
      </c>
      <c r="B440" s="304">
        <f t="shared" ca="1" si="181"/>
        <v>25.600000000000097</v>
      </c>
      <c r="D440" s="306">
        <f t="shared" ca="1" si="182"/>
        <v>-0.71257361385124274</v>
      </c>
      <c r="E440" s="307">
        <f t="shared" ca="1" si="183"/>
        <v>-6.6254167264000579</v>
      </c>
      <c r="F440" s="304">
        <f t="shared" ca="1" si="184"/>
        <v>6.6636257363104265</v>
      </c>
      <c r="G440" s="306">
        <f t="shared" ca="1" si="185"/>
        <v>18.898054506898404</v>
      </c>
      <c r="H440" s="307">
        <f t="shared" ca="1" si="186"/>
        <v>-85.438840027195326</v>
      </c>
      <c r="I440" s="304">
        <f t="shared" ca="1" si="187"/>
        <v>87.503896195188801</v>
      </c>
      <c r="J440" s="306">
        <f t="shared" ca="1" si="188"/>
        <v>649.84577944999853</v>
      </c>
      <c r="K440" s="307">
        <f t="shared" ca="1" si="189"/>
        <v>884.92708431173196</v>
      </c>
      <c r="L440" s="304">
        <f t="shared" ca="1" si="174"/>
        <v>1097.9050421677821</v>
      </c>
      <c r="M440" s="306">
        <f t="shared" ca="1" si="190"/>
        <v>-1.3531130561654368</v>
      </c>
      <c r="N440" s="304">
        <f t="shared" ca="1" si="191"/>
        <v>-77.527667322327844</v>
      </c>
      <c r="P440" s="310">
        <f t="shared" ca="1" si="192"/>
        <v>23</v>
      </c>
      <c r="Q440" s="304">
        <f t="shared" ca="1" si="193"/>
        <v>0</v>
      </c>
      <c r="R440" s="306">
        <f t="shared" ca="1" si="194"/>
        <v>0</v>
      </c>
      <c r="S440" s="307">
        <f t="shared" ca="1" si="195"/>
        <v>8.0499999999999989</v>
      </c>
      <c r="T440" s="304">
        <f t="shared" ca="1" si="175"/>
        <v>78.970499999999987</v>
      </c>
      <c r="U440" s="311">
        <f t="shared" ca="1" si="176"/>
        <v>0</v>
      </c>
      <c r="V440" s="306">
        <f t="shared" ca="1" si="177"/>
        <v>1.121189661193869</v>
      </c>
      <c r="W440" s="304">
        <f t="shared" ca="1" si="178"/>
        <v>26.675720147558845</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6.3099414835594434</v>
      </c>
      <c r="AH440" s="304">
        <f t="shared" ca="1" si="202"/>
        <v>-3.2633313931701067</v>
      </c>
    </row>
    <row r="441" spans="1:34" x14ac:dyDescent="0.3">
      <c r="A441" s="347">
        <f t="shared" ca="1" si="180"/>
        <v>0.1</v>
      </c>
      <c r="B441" s="304">
        <f t="shared" ca="1" si="181"/>
        <v>25.700000000000099</v>
      </c>
      <c r="D441" s="306">
        <f t="shared" ca="1" si="182"/>
        <v>-0.71566533020935374</v>
      </c>
      <c r="E441" s="307">
        <f t="shared" ca="1" si="183"/>
        <v>-6.5744491850498825</v>
      </c>
      <c r="F441" s="304">
        <f t="shared" ca="1" si="184"/>
        <v>6.6132865469195217</v>
      </c>
      <c r="G441" s="306">
        <f t="shared" ca="1" si="185"/>
        <v>18.82648797387747</v>
      </c>
      <c r="H441" s="307">
        <f t="shared" ca="1" si="186"/>
        <v>-86.096284945700319</v>
      </c>
      <c r="I441" s="304">
        <f t="shared" ca="1" si="187"/>
        <v>88.130624251061434</v>
      </c>
      <c r="J441" s="306">
        <f t="shared" ca="1" si="188"/>
        <v>651.73200657403731</v>
      </c>
      <c r="K441" s="307">
        <f t="shared" ca="1" si="189"/>
        <v>876.3503280630872</v>
      </c>
      <c r="L441" s="304">
        <f t="shared" ca="1" si="174"/>
        <v>1092.1284292102746</v>
      </c>
      <c r="M441" s="306">
        <f t="shared" ca="1" si="190"/>
        <v>-1.3555170441118307</v>
      </c>
      <c r="N441" s="304">
        <f t="shared" ca="1" si="191"/>
        <v>-77.665405685656538</v>
      </c>
      <c r="P441" s="310">
        <f t="shared" ca="1" si="192"/>
        <v>23</v>
      </c>
      <c r="Q441" s="304">
        <f t="shared" ca="1" si="193"/>
        <v>0</v>
      </c>
      <c r="R441" s="306">
        <f t="shared" ca="1" si="194"/>
        <v>0</v>
      </c>
      <c r="S441" s="307">
        <f t="shared" ca="1" si="195"/>
        <v>8.0499999999999989</v>
      </c>
      <c r="T441" s="304">
        <f t="shared" ca="1" si="175"/>
        <v>78.970499999999987</v>
      </c>
      <c r="U441" s="311">
        <f t="shared" ca="1" si="176"/>
        <v>0</v>
      </c>
      <c r="V441" s="306">
        <f t="shared" ca="1" si="177"/>
        <v>1.1221535603678594</v>
      </c>
      <c r="W441" s="304">
        <f t="shared" ca="1" si="178"/>
        <v>27.082470018524283</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6.264733955921252</v>
      </c>
      <c r="AH441" s="304">
        <f t="shared" ca="1" si="202"/>
        <v>-3.3137540555973723</v>
      </c>
    </row>
    <row r="442" spans="1:34" x14ac:dyDescent="0.3">
      <c r="A442" s="347">
        <f t="shared" ca="1" si="180"/>
        <v>0.1</v>
      </c>
      <c r="B442" s="304">
        <f t="shared" ca="1" si="181"/>
        <v>25.8000000000001</v>
      </c>
      <c r="D442" s="306">
        <f t="shared" ca="1" si="182"/>
        <v>-0.71867883566503632</v>
      </c>
      <c r="E442" s="307">
        <f t="shared" ca="1" si="183"/>
        <v>-6.5233764988076359</v>
      </c>
      <c r="F442" s="304">
        <f t="shared" ca="1" si="184"/>
        <v>6.5628454357868753</v>
      </c>
      <c r="G442" s="306">
        <f t="shared" ca="1" si="185"/>
        <v>18.754620090310965</v>
      </c>
      <c r="H442" s="307">
        <f t="shared" ca="1" si="186"/>
        <v>-86.748622595581082</v>
      </c>
      <c r="I442" s="304">
        <f t="shared" ca="1" si="187"/>
        <v>88.752798811994978</v>
      </c>
      <c r="J442" s="306">
        <f t="shared" ca="1" si="188"/>
        <v>653.61106197724678</v>
      </c>
      <c r="K442" s="307">
        <f t="shared" ca="1" si="189"/>
        <v>867.70808268602309</v>
      </c>
      <c r="L442" s="304">
        <f t="shared" ca="1" si="174"/>
        <v>1086.3354625057946</v>
      </c>
      <c r="M442" s="306">
        <f t="shared" ca="1" si="190"/>
        <v>-1.3578782280397308</v>
      </c>
      <c r="N442" s="304">
        <f t="shared" ca="1" si="191"/>
        <v>-77.800691559379331</v>
      </c>
      <c r="P442" s="310">
        <f t="shared" ca="1" si="192"/>
        <v>23</v>
      </c>
      <c r="Q442" s="304">
        <f t="shared" ca="1" si="193"/>
        <v>0</v>
      </c>
      <c r="R442" s="306">
        <f t="shared" ca="1" si="194"/>
        <v>0</v>
      </c>
      <c r="S442" s="307">
        <f t="shared" ca="1" si="195"/>
        <v>8.0499999999999989</v>
      </c>
      <c r="T442" s="304">
        <f t="shared" ca="1" si="175"/>
        <v>78.970499999999987</v>
      </c>
      <c r="U442" s="311">
        <f t="shared" ca="1" si="176"/>
        <v>0</v>
      </c>
      <c r="V442" s="306">
        <f t="shared" ca="1" si="177"/>
        <v>1.1231256209758558</v>
      </c>
      <c r="W442" s="304">
        <f t="shared" ca="1" si="178"/>
        <v>27.489999753453919</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6.219271542106406</v>
      </c>
      <c r="AH442" s="304">
        <f t="shared" ca="1" si="202"/>
        <v>-3.3642819898787932</v>
      </c>
    </row>
    <row r="443" spans="1:34" x14ac:dyDescent="0.3">
      <c r="A443" s="347">
        <f t="shared" ca="1" si="180"/>
        <v>0.1</v>
      </c>
      <c r="B443" s="304">
        <f t="shared" ca="1" si="181"/>
        <v>25.900000000000102</v>
      </c>
      <c r="D443" s="306">
        <f t="shared" ca="1" si="182"/>
        <v>-0.72161419770920232</v>
      </c>
      <c r="E443" s="307">
        <f t="shared" ca="1" si="183"/>
        <v>-6.4722071044228375</v>
      </c>
      <c r="F443" s="304">
        <f t="shared" ca="1" si="184"/>
        <v>6.5123107920980665</v>
      </c>
      <c r="G443" s="306">
        <f t="shared" ca="1" si="185"/>
        <v>18.682458670540043</v>
      </c>
      <c r="H443" s="307">
        <f t="shared" ca="1" si="186"/>
        <v>-87.395843306023366</v>
      </c>
      <c r="I443" s="304">
        <f t="shared" ca="1" si="187"/>
        <v>89.370396044481225</v>
      </c>
      <c r="J443" s="306">
        <f t="shared" ca="1" si="188"/>
        <v>655.48291591528937</v>
      </c>
      <c r="K443" s="307">
        <f t="shared" ca="1" si="189"/>
        <v>859.00085939094288</v>
      </c>
      <c r="L443" s="304">
        <f t="shared" ca="1" si="174"/>
        <v>1080.5278013504274</v>
      </c>
      <c r="M443" s="306">
        <f t="shared" ca="1" si="190"/>
        <v>-1.3601977683698796</v>
      </c>
      <c r="N443" s="304">
        <f t="shared" ca="1" si="191"/>
        <v>-77.933591430707239</v>
      </c>
      <c r="P443" s="310">
        <f t="shared" ca="1" si="192"/>
        <v>23</v>
      </c>
      <c r="Q443" s="304">
        <f t="shared" ca="1" si="193"/>
        <v>0</v>
      </c>
      <c r="R443" s="306">
        <f t="shared" ca="1" si="194"/>
        <v>0</v>
      </c>
      <c r="S443" s="307">
        <f t="shared" ca="1" si="195"/>
        <v>8.0499999999999989</v>
      </c>
      <c r="T443" s="304">
        <f t="shared" ca="1" si="175"/>
        <v>78.970499999999987</v>
      </c>
      <c r="U443" s="311">
        <f t="shared" ca="1" si="176"/>
        <v>0</v>
      </c>
      <c r="V443" s="306">
        <f t="shared" ca="1" si="177"/>
        <v>1.1241058047461405</v>
      </c>
      <c r="W443" s="304">
        <f t="shared" ca="1" si="178"/>
        <v>27.898242315302319</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6.1735681428240543</v>
      </c>
      <c r="AH443" s="304">
        <f t="shared" ca="1" si="202"/>
        <v>-3.4149068016712949</v>
      </c>
    </row>
    <row r="444" spans="1:34" x14ac:dyDescent="0.3">
      <c r="A444" s="347">
        <f t="shared" ca="1" si="180"/>
        <v>0.1</v>
      </c>
      <c r="B444" s="304">
        <f t="shared" ca="1" si="181"/>
        <v>26.000000000000103</v>
      </c>
      <c r="D444" s="306">
        <f t="shared" ca="1" si="182"/>
        <v>-0.72447150662875304</v>
      </c>
      <c r="E444" s="307">
        <f t="shared" ca="1" si="183"/>
        <v>-6.4209493729084794</v>
      </c>
      <c r="F444" s="304">
        <f t="shared" ca="1" si="184"/>
        <v>6.4616909407190564</v>
      </c>
      <c r="G444" s="306">
        <f t="shared" ca="1" si="185"/>
        <v>18.610011519877169</v>
      </c>
      <c r="H444" s="307">
        <f t="shared" ca="1" si="186"/>
        <v>-88.037938243314215</v>
      </c>
      <c r="I444" s="304">
        <f t="shared" ca="1" si="187"/>
        <v>89.983393461813648</v>
      </c>
      <c r="J444" s="306">
        <f t="shared" ca="1" si="188"/>
        <v>657.34753942481018</v>
      </c>
      <c r="K444" s="307">
        <f t="shared" ca="1" si="189"/>
        <v>850.22917031347595</v>
      </c>
      <c r="L444" s="304">
        <f t="shared" ca="1" si="174"/>
        <v>1074.7071366841267</v>
      </c>
      <c r="M444" s="306">
        <f t="shared" ca="1" si="190"/>
        <v>-1.362476784314868</v>
      </c>
      <c r="N444" s="304">
        <f t="shared" ca="1" si="191"/>
        <v>-78.064169425798099</v>
      </c>
      <c r="P444" s="310">
        <f t="shared" ca="1" si="192"/>
        <v>23</v>
      </c>
      <c r="Q444" s="304">
        <f t="shared" ca="1" si="193"/>
        <v>0</v>
      </c>
      <c r="R444" s="306">
        <f t="shared" ca="1" si="194"/>
        <v>0</v>
      </c>
      <c r="S444" s="307">
        <f t="shared" ca="1" si="195"/>
        <v>8.0499999999999989</v>
      </c>
      <c r="T444" s="304">
        <f t="shared" ca="1" si="175"/>
        <v>78.970499999999987</v>
      </c>
      <c r="U444" s="311">
        <f t="shared" ca="1" si="176"/>
        <v>0</v>
      </c>
      <c r="V444" s="306">
        <f t="shared" ca="1" si="177"/>
        <v>1.1250940732951813</v>
      </c>
      <c r="W444" s="304">
        <f t="shared" ca="1" si="178"/>
        <v>28.307131220949991</v>
      </c>
      <c r="Y444" s="314" t="str">
        <f t="shared" ca="1" si="196"/>
        <v/>
      </c>
      <c r="Z444" s="315" t="str">
        <f t="shared" ca="1" si="197"/>
        <v/>
      </c>
      <c r="AA444" s="316" t="str">
        <f t="shared" ca="1" si="198"/>
        <v/>
      </c>
      <c r="AC444" s="310">
        <f t="shared" ca="1" si="199"/>
        <v>26.000000000000103</v>
      </c>
      <c r="AD444" s="323">
        <f t="shared" ca="1" si="200"/>
        <v>657.34753942481018</v>
      </c>
      <c r="AE444" s="324" t="e">
        <f t="shared" ca="1" si="179"/>
        <v>#N/A</v>
      </c>
      <c r="AG444" s="306">
        <f t="shared" ca="1" si="201"/>
        <v>6.1276373444454464</v>
      </c>
      <c r="AH444" s="304">
        <f t="shared" ca="1" si="202"/>
        <v>-3.4656201633915931</v>
      </c>
    </row>
    <row r="445" spans="1:34" x14ac:dyDescent="0.3">
      <c r="A445" s="347">
        <f t="shared" ca="1" si="180"/>
        <v>0.1</v>
      </c>
      <c r="B445" s="304">
        <f t="shared" ca="1" si="181"/>
        <v>26.100000000000104</v>
      </c>
      <c r="D445" s="306">
        <f t="shared" ca="1" si="182"/>
        <v>-0.72725087498680097</v>
      </c>
      <c r="E445" s="307">
        <f t="shared" ca="1" si="183"/>
        <v>-6.3696116073813789</v>
      </c>
      <c r="F445" s="304">
        <f t="shared" ca="1" si="184"/>
        <v>6.410994140073492</v>
      </c>
      <c r="G445" s="306">
        <f t="shared" ca="1" si="185"/>
        <v>18.53728643237849</v>
      </c>
      <c r="H445" s="307">
        <f t="shared" ca="1" si="186"/>
        <v>-88.674899404052354</v>
      </c>
      <c r="I445" s="304">
        <f t="shared" ca="1" si="187"/>
        <v>90.591769894372007</v>
      </c>
      <c r="J445" s="306">
        <f t="shared" ca="1" si="188"/>
        <v>659.20490432242298</v>
      </c>
      <c r="K445" s="307">
        <f t="shared" ca="1" si="189"/>
        <v>841.3935284311076</v>
      </c>
      <c r="L445" s="304">
        <f t="shared" ca="1" si="174"/>
        <v>1068.8751917639795</v>
      </c>
      <c r="M445" s="306">
        <f t="shared" ca="1" si="190"/>
        <v>-1.3647163556516879</v>
      </c>
      <c r="N445" s="304">
        <f t="shared" ca="1" si="191"/>
        <v>-78.19248741131635</v>
      </c>
      <c r="P445" s="310">
        <f t="shared" ca="1" si="192"/>
        <v>23</v>
      </c>
      <c r="Q445" s="304">
        <f t="shared" ca="1" si="193"/>
        <v>0</v>
      </c>
      <c r="R445" s="306">
        <f t="shared" ca="1" si="194"/>
        <v>0</v>
      </c>
      <c r="S445" s="307">
        <f t="shared" ca="1" si="195"/>
        <v>8.0499999999999989</v>
      </c>
      <c r="T445" s="304">
        <f t="shared" ca="1" si="175"/>
        <v>78.970499999999987</v>
      </c>
      <c r="U445" s="311">
        <f t="shared" ca="1" si="176"/>
        <v>0</v>
      </c>
      <c r="V445" s="306">
        <f t="shared" ca="1" si="177"/>
        <v>1.1260903881333988</v>
      </c>
      <c r="W445" s="304">
        <f t="shared" ca="1" si="178"/>
        <v>28.716600557225302</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6.0814924299940305</v>
      </c>
      <c r="AH445" s="304">
        <f t="shared" ca="1" si="202"/>
        <v>-3.5164138162670802</v>
      </c>
    </row>
    <row r="446" spans="1:34" x14ac:dyDescent="0.3">
      <c r="A446" s="347">
        <f t="shared" ca="1" si="180"/>
        <v>0.1</v>
      </c>
      <c r="B446" s="304">
        <f t="shared" ca="1" si="181"/>
        <v>26.200000000000106</v>
      </c>
      <c r="D446" s="306">
        <f t="shared" ca="1" si="182"/>
        <v>-0.72995243711084834</v>
      </c>
      <c r="E446" s="307">
        <f t="shared" ca="1" si="183"/>
        <v>-6.3182020409692683</v>
      </c>
      <c r="F446" s="304">
        <f t="shared" ca="1" si="184"/>
        <v>6.3602285800867486</v>
      </c>
      <c r="G446" s="306">
        <f t="shared" ca="1" si="185"/>
        <v>18.464291188667406</v>
      </c>
      <c r="H446" s="307">
        <f t="shared" ca="1" si="186"/>
        <v>-89.30671960814928</v>
      </c>
      <c r="I446" s="304">
        <f t="shared" ca="1" si="187"/>
        <v>91.195505460896996</v>
      </c>
      <c r="J446" s="306">
        <f t="shared" ca="1" si="188"/>
        <v>661.05498320347522</v>
      </c>
      <c r="K446" s="307">
        <f t="shared" ca="1" si="189"/>
        <v>832.49444748049757</v>
      </c>
      <c r="L446" s="304">
        <f t="shared" ca="1" si="174"/>
        <v>1063.0337228442029</v>
      </c>
      <c r="M446" s="306">
        <f t="shared" ca="1" si="190"/>
        <v>-1.3669175244056497</v>
      </c>
      <c r="N446" s="304">
        <f t="shared" ca="1" si="191"/>
        <v>-78.318605090914431</v>
      </c>
      <c r="P446" s="310">
        <f t="shared" ca="1" si="192"/>
        <v>23</v>
      </c>
      <c r="Q446" s="304">
        <f t="shared" ca="1" si="193"/>
        <v>0</v>
      </c>
      <c r="R446" s="306">
        <f t="shared" ca="1" si="194"/>
        <v>0</v>
      </c>
      <c r="S446" s="307">
        <f t="shared" ca="1" si="195"/>
        <v>8.0499999999999989</v>
      </c>
      <c r="T446" s="304">
        <f t="shared" ca="1" si="175"/>
        <v>78.970499999999987</v>
      </c>
      <c r="U446" s="311">
        <f t="shared" ca="1" si="176"/>
        <v>0</v>
      </c>
      <c r="V446" s="306">
        <f t="shared" ca="1" si="177"/>
        <v>1.127094710670911</v>
      </c>
      <c r="W446" s="304">
        <f t="shared" ca="1" si="178"/>
        <v>29.126584996436485</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6.0351463894145319</v>
      </c>
      <c r="AH446" s="304">
        <f t="shared" ca="1" si="202"/>
        <v>-3.5672795723261248</v>
      </c>
    </row>
    <row r="447" spans="1:34" x14ac:dyDescent="0.3">
      <c r="A447" s="347">
        <f t="shared" ca="1" si="180"/>
        <v>0.1</v>
      </c>
      <c r="B447" s="304">
        <f t="shared" ca="1" si="181"/>
        <v>26.300000000000107</v>
      </c>
      <c r="D447" s="306">
        <f t="shared" ca="1" si="182"/>
        <v>-0.73257634858843346</v>
      </c>
      <c r="E447" s="307">
        <f t="shared" ca="1" si="183"/>
        <v>-6.2667288347844377</v>
      </c>
      <c r="F447" s="304">
        <f t="shared" ca="1" si="184"/>
        <v>6.3094023801965493</v>
      </c>
      <c r="G447" s="306">
        <f t="shared" ca="1" si="185"/>
        <v>18.391033553808562</v>
      </c>
      <c r="H447" s="307">
        <f t="shared" ca="1" si="186"/>
        <v>-89.933392491627728</v>
      </c>
      <c r="I447" s="304">
        <f t="shared" ca="1" si="187"/>
        <v>91.794581540690487</v>
      </c>
      <c r="J447" s="306">
        <f t="shared" ca="1" si="188"/>
        <v>662.897749440599</v>
      </c>
      <c r="K447" s="307">
        <f t="shared" ca="1" si="189"/>
        <v>823.53244187550877</v>
      </c>
      <c r="L447" s="304">
        <f t="shared" ca="1" si="174"/>
        <v>1057.1845198615279</v>
      </c>
      <c r="M447" s="306">
        <f t="shared" ca="1" si="190"/>
        <v>-1.369081296450656</v>
      </c>
      <c r="N447" s="304">
        <f t="shared" ca="1" si="191"/>
        <v>-78.442580096921688</v>
      </c>
      <c r="P447" s="310">
        <f t="shared" ca="1" si="192"/>
        <v>23</v>
      </c>
      <c r="Q447" s="304">
        <f t="shared" ca="1" si="193"/>
        <v>0</v>
      </c>
      <c r="R447" s="306">
        <f t="shared" ca="1" si="194"/>
        <v>0</v>
      </c>
      <c r="S447" s="307">
        <f t="shared" ca="1" si="195"/>
        <v>8.0499999999999989</v>
      </c>
      <c r="T447" s="304">
        <f t="shared" ca="1" si="175"/>
        <v>78.970499999999987</v>
      </c>
      <c r="U447" s="311">
        <f t="shared" ca="1" si="176"/>
        <v>0</v>
      </c>
      <c r="V447" s="306">
        <f t="shared" ca="1" si="177"/>
        <v>1.1281070022232371</v>
      </c>
      <c r="W447" s="304">
        <f t="shared" ca="1" si="178"/>
        <v>29.537019811411469</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5.9886119291734481</v>
      </c>
      <c r="AH447" s="304">
        <f t="shared" ca="1" si="202"/>
        <v>-3.6182093163275142</v>
      </c>
    </row>
    <row r="448" spans="1:34" x14ac:dyDescent="0.3">
      <c r="A448" s="347">
        <f t="shared" ca="1" si="180"/>
        <v>0.1</v>
      </c>
      <c r="B448" s="304">
        <f t="shared" ca="1" si="181"/>
        <v>26.400000000000109</v>
      </c>
      <c r="D448" s="306">
        <f t="shared" ca="1" si="182"/>
        <v>-0.73512278576982015</v>
      </c>
      <c r="E448" s="307">
        <f t="shared" ca="1" si="183"/>
        <v>-6.2152000759639225</v>
      </c>
      <c r="F448" s="304">
        <f t="shared" ca="1" si="184"/>
        <v>6.2585235874301803</v>
      </c>
      <c r="G448" s="306">
        <f t="shared" ca="1" si="185"/>
        <v>18.317521275231581</v>
      </c>
      <c r="H448" s="307">
        <f t="shared" ca="1" si="186"/>
        <v>-90.554912499224116</v>
      </c>
      <c r="I448" s="304">
        <f t="shared" ca="1" si="187"/>
        <v>92.388980746681568</v>
      </c>
      <c r="J448" s="306">
        <f t="shared" ca="1" si="188"/>
        <v>664.73317718205101</v>
      </c>
      <c r="K448" s="307">
        <f t="shared" ca="1" si="189"/>
        <v>814.50802662596618</v>
      </c>
      <c r="L448" s="304">
        <f t="shared" ca="1" si="174"/>
        <v>1051.3294071244607</v>
      </c>
      <c r="M448" s="306">
        <f t="shared" ca="1" si="190"/>
        <v>-1.3712086430305268</v>
      </c>
      <c r="N448" s="304">
        <f t="shared" ca="1" si="191"/>
        <v>-78.564468077509872</v>
      </c>
      <c r="P448" s="310">
        <f t="shared" ca="1" si="192"/>
        <v>23</v>
      </c>
      <c r="Q448" s="304">
        <f t="shared" ca="1" si="193"/>
        <v>0</v>
      </c>
      <c r="R448" s="306">
        <f t="shared" ca="1" si="194"/>
        <v>0</v>
      </c>
      <c r="S448" s="307">
        <f t="shared" ca="1" si="195"/>
        <v>8.0499999999999989</v>
      </c>
      <c r="T448" s="304">
        <f t="shared" ca="1" si="175"/>
        <v>78.970499999999987</v>
      </c>
      <c r="U448" s="311">
        <f t="shared" ca="1" si="176"/>
        <v>0</v>
      </c>
      <c r="V448" s="306">
        <f t="shared" ca="1" si="177"/>
        <v>1.1291272240169739</v>
      </c>
      <c r="W448" s="304">
        <f t="shared" ca="1" si="178"/>
        <v>29.947840890044276</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5.9419014812395758</v>
      </c>
      <c r="AH448" s="304">
        <f t="shared" ca="1" si="202"/>
        <v>-3.6691950076287543</v>
      </c>
    </row>
    <row r="449" spans="1:34" x14ac:dyDescent="0.3">
      <c r="A449" s="347">
        <f t="shared" ca="1" si="180"/>
        <v>0.1</v>
      </c>
      <c r="B449" s="304">
        <f t="shared" ca="1" si="181"/>
        <v>26.50000000000011</v>
      </c>
      <c r="D449" s="306">
        <f t="shared" ca="1" si="182"/>
        <v>-0.73759194527733296</v>
      </c>
      <c r="E449" s="307">
        <f t="shared" ca="1" si="183"/>
        <v>-6.1636237757760171</v>
      </c>
      <c r="F449" s="304">
        <f t="shared" ca="1" si="184"/>
        <v>6.2076001745480847</v>
      </c>
      <c r="G449" s="306">
        <f t="shared" ca="1" si="185"/>
        <v>18.243762080703849</v>
      </c>
      <c r="H449" s="307">
        <f t="shared" ca="1" si="186"/>
        <v>-91.171274876801718</v>
      </c>
      <c r="I449" s="304">
        <f t="shared" ca="1" si="187"/>
        <v>92.978686899303241</v>
      </c>
      <c r="J449" s="306">
        <f t="shared" ca="1" si="188"/>
        <v>666.56124134984782</v>
      </c>
      <c r="K449" s="307">
        <f t="shared" ca="1" si="189"/>
        <v>805.42171725716491</v>
      </c>
      <c r="L449" s="304">
        <f t="shared" ca="1" si="174"/>
        <v>1045.4702440047399</v>
      </c>
      <c r="M449" s="306">
        <f t="shared" ca="1" si="190"/>
        <v>-1.3733005022057718</v>
      </c>
      <c r="N449" s="304">
        <f t="shared" ca="1" si="191"/>
        <v>-78.68432277958712</v>
      </c>
      <c r="P449" s="310">
        <f t="shared" ca="1" si="192"/>
        <v>23</v>
      </c>
      <c r="Q449" s="304">
        <f t="shared" ca="1" si="193"/>
        <v>0</v>
      </c>
      <c r="R449" s="306">
        <f t="shared" ca="1" si="194"/>
        <v>0</v>
      </c>
      <c r="S449" s="307">
        <f t="shared" ca="1" si="195"/>
        <v>8.0499999999999989</v>
      </c>
      <c r="T449" s="304">
        <f t="shared" ca="1" si="175"/>
        <v>78.970499999999987</v>
      </c>
      <c r="U449" s="311">
        <f t="shared" ca="1" si="176"/>
        <v>0</v>
      </c>
      <c r="V449" s="306">
        <f t="shared" ca="1" si="177"/>
        <v>1.1301553371954338</v>
      </c>
      <c r="W449" s="304">
        <f t="shared" ca="1" si="178"/>
        <v>30.358984749346774</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5.8950272114896105</v>
      </c>
      <c r="AH449" s="304">
        <f t="shared" ca="1" si="202"/>
        <v>-3.7202286819930781</v>
      </c>
    </row>
    <row r="450" spans="1:34" x14ac:dyDescent="0.3">
      <c r="A450" s="347">
        <f t="shared" ca="1" si="180"/>
        <v>0.1</v>
      </c>
      <c r="B450" s="304">
        <f t="shared" ca="1" si="181"/>
        <v>26.600000000000112</v>
      </c>
      <c r="D450" s="306">
        <f t="shared" ca="1" si="182"/>
        <v>-0.73998404352099001</v>
      </c>
      <c r="E450" s="307">
        <f t="shared" ca="1" si="183"/>
        <v>-6.1120078677929914</v>
      </c>
      <c r="F450" s="304">
        <f t="shared" ca="1" si="184"/>
        <v>6.1566400382537472</v>
      </c>
      <c r="G450" s="306">
        <f t="shared" ca="1" si="185"/>
        <v>18.169763676351749</v>
      </c>
      <c r="H450" s="307">
        <f t="shared" ca="1" si="186"/>
        <v>-91.78247566358101</v>
      </c>
      <c r="I450" s="304">
        <f t="shared" ca="1" si="187"/>
        <v>93.563685001128036</v>
      </c>
      <c r="J450" s="306">
        <f t="shared" ca="1" si="188"/>
        <v>668.38191763770055</v>
      </c>
      <c r="K450" s="307">
        <f t="shared" ca="1" si="189"/>
        <v>796.2740297301458</v>
      </c>
      <c r="L450" s="304">
        <f t="shared" ca="1" si="174"/>
        <v>1039.6089256291209</v>
      </c>
      <c r="M450" s="306">
        <f t="shared" ca="1" si="190"/>
        <v>-1.3753577802299417</v>
      </c>
      <c r="N450" s="304">
        <f t="shared" ca="1" si="191"/>
        <v>-78.802196127657069</v>
      </c>
      <c r="P450" s="310">
        <f t="shared" ca="1" si="192"/>
        <v>23</v>
      </c>
      <c r="Q450" s="304">
        <f t="shared" ca="1" si="193"/>
        <v>0</v>
      </c>
      <c r="R450" s="306">
        <f t="shared" ca="1" si="194"/>
        <v>0</v>
      </c>
      <c r="S450" s="307">
        <f t="shared" ca="1" si="195"/>
        <v>8.0499999999999989</v>
      </c>
      <c r="T450" s="304">
        <f t="shared" ca="1" si="175"/>
        <v>78.970499999999987</v>
      </c>
      <c r="U450" s="311">
        <f t="shared" ca="1" si="176"/>
        <v>0</v>
      </c>
      <c r="V450" s="306">
        <f t="shared" ca="1" si="177"/>
        <v>1.1311913028242506</v>
      </c>
      <c r="W450" s="304">
        <f t="shared" ca="1" si="178"/>
        <v>30.770388549005066</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5.8480010275805476</v>
      </c>
      <c r="AH450" s="304">
        <f t="shared" ca="1" si="202"/>
        <v>-3.7713024533350037</v>
      </c>
    </row>
    <row r="451" spans="1:34" x14ac:dyDescent="0.3">
      <c r="A451" s="347">
        <f t="shared" ca="1" si="180"/>
        <v>0.1</v>
      </c>
      <c r="B451" s="304">
        <f t="shared" ca="1" si="181"/>
        <v>26.700000000000113</v>
      </c>
      <c r="D451" s="306">
        <f t="shared" ca="1" si="182"/>
        <v>-0.74229931622011625</v>
      </c>
      <c r="E451" s="307">
        <f t="shared" ca="1" si="183"/>
        <v>-6.0603602061298103</v>
      </c>
      <c r="F451" s="304">
        <f t="shared" ca="1" si="184"/>
        <v>6.1056509974696889</v>
      </c>
      <c r="G451" s="306">
        <f t="shared" ca="1" si="185"/>
        <v>18.095533744729739</v>
      </c>
      <c r="H451" s="307">
        <f t="shared" ca="1" si="186"/>
        <v>-92.388511684193986</v>
      </c>
      <c r="I451" s="304">
        <f t="shared" ca="1" si="187"/>
        <v>94.143961212215316</v>
      </c>
      <c r="J451" s="306">
        <f t="shared" ca="1" si="188"/>
        <v>670.19518250875467</v>
      </c>
      <c r="K451" s="307">
        <f t="shared" ca="1" si="189"/>
        <v>787.06548036275706</v>
      </c>
      <c r="L451" s="304">
        <f t="shared" ca="1" si="174"/>
        <v>1033.7473835694097</v>
      </c>
      <c r="M451" s="306">
        <f t="shared" ca="1" si="190"/>
        <v>-1.3773813528594323</v>
      </c>
      <c r="N451" s="304">
        <f t="shared" ca="1" si="191"/>
        <v>-78.918138298865074</v>
      </c>
      <c r="P451" s="310">
        <f t="shared" ca="1" si="192"/>
        <v>23</v>
      </c>
      <c r="Q451" s="304">
        <f t="shared" ca="1" si="193"/>
        <v>0</v>
      </c>
      <c r="R451" s="306">
        <f t="shared" ca="1" si="194"/>
        <v>0</v>
      </c>
      <c r="S451" s="307">
        <f t="shared" ca="1" si="195"/>
        <v>8.0499999999999989</v>
      </c>
      <c r="T451" s="304">
        <f t="shared" ca="1" si="175"/>
        <v>78.970499999999987</v>
      </c>
      <c r="U451" s="311">
        <f t="shared" ca="1" si="176"/>
        <v>0</v>
      </c>
      <c r="V451" s="306">
        <f t="shared" ca="1" si="177"/>
        <v>1.132235081896942</v>
      </c>
      <c r="W451" s="304">
        <f t="shared" ca="1" si="178"/>
        <v>31.181990104440249</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5.8008345863276265</v>
      </c>
      <c r="AH451" s="304">
        <f t="shared" ca="1" si="202"/>
        <v>-3.8224085154043563</v>
      </c>
    </row>
    <row r="452" spans="1:34" x14ac:dyDescent="0.3">
      <c r="A452" s="347">
        <f t="shared" ca="1" si="180"/>
        <v>0.1</v>
      </c>
      <c r="B452" s="304">
        <f t="shared" ca="1" si="181"/>
        <v>26.800000000000114</v>
      </c>
      <c r="D452" s="306">
        <f t="shared" ca="1" si="182"/>
        <v>-0.74453801793066476</v>
      </c>
      <c r="E452" s="307">
        <f t="shared" ca="1" si="183"/>
        <v>-6.0086885637486258</v>
      </c>
      <c r="F452" s="304">
        <f t="shared" ca="1" si="184"/>
        <v>6.0546407916793585</v>
      </c>
      <c r="G452" s="306">
        <f t="shared" ca="1" si="185"/>
        <v>18.021079942936673</v>
      </c>
      <c r="H452" s="307">
        <f t="shared" ca="1" si="186"/>
        <v>-92.989380540568845</v>
      </c>
      <c r="I452" s="304">
        <f t="shared" ca="1" si="187"/>
        <v>94.719502826125719</v>
      </c>
      <c r="J452" s="306">
        <f t="shared" ca="1" si="188"/>
        <v>672.00101319313796</v>
      </c>
      <c r="K452" s="307">
        <f t="shared" ca="1" si="189"/>
        <v>777.79658575151893</v>
      </c>
      <c r="L452" s="304">
        <f t="shared" ref="L452:L515" ca="1" si="203">SQRT(pos_x^2+pos_z^2)</f>
        <v>1027.8875865284706</v>
      </c>
      <c r="M452" s="306">
        <f t="shared" ca="1" si="190"/>
        <v>-1.3793720666003852</v>
      </c>
      <c r="N452" s="304">
        <f t="shared" ca="1" si="191"/>
        <v>-79.032197794440378</v>
      </c>
      <c r="P452" s="310">
        <f t="shared" ca="1" si="192"/>
        <v>23</v>
      </c>
      <c r="Q452" s="304">
        <f t="shared" ca="1" si="193"/>
        <v>0</v>
      </c>
      <c r="R452" s="306">
        <f t="shared" ca="1" si="194"/>
        <v>0</v>
      </c>
      <c r="S452" s="307">
        <f t="shared" ca="1" si="195"/>
        <v>8.0499999999999989</v>
      </c>
      <c r="T452" s="304">
        <f t="shared" ref="T452:T515" ca="1" si="204">m*g</f>
        <v>78.970499999999987</v>
      </c>
      <c r="U452" s="311">
        <f t="shared" ref="U452:U515" ca="1" si="205">IF(pos_xz&lt;L_rampe,Poids*COS(Beta),0)</f>
        <v>0</v>
      </c>
      <c r="V452" s="306">
        <f t="shared" ref="V452:V515" ca="1" si="206">Rho_moyen*(20000-Alt_rampe-pos_z)/(20000+Alt_rampe+pos_z)</f>
        <v>1.1332866353404385</v>
      </c>
      <c r="W452" s="304">
        <f t="shared" ref="W452:W515" ca="1" si="207">1/2*Rho*Sref*Cx*vit_xz^2</f>
        <v>31.593727899373555</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5.7535393006237001</v>
      </c>
      <c r="AH452" s="304">
        <f t="shared" ca="1" si="202"/>
        <v>-3.8735391434087272</v>
      </c>
    </row>
    <row r="453" spans="1:34" x14ac:dyDescent="0.3">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-0.74670042157798722</v>
      </c>
      <c r="E453" s="307">
        <f t="shared" ref="E453:E516" ca="1" si="212">IF(AND(L452&lt;L_rampe,Poussee&lt;Poids*SIN(M452)),0,(-W452+Poussee)/m*SIN(M452)+U452/m*COS(M452)-Poids/m)</f>
        <v>-5.9570006308288077</v>
      </c>
      <c r="F453" s="304">
        <f t="shared" ref="F453:F516" ca="1" si="213">SQRT(acc_x^2+acc_z^2)</f>
        <v>6.0036170793347203</v>
      </c>
      <c r="G453" s="306">
        <f t="shared" ref="G453:G516" ca="1" si="214">G452+acc_x*pas</f>
        <v>17.946409900778875</v>
      </c>
      <c r="H453" s="307">
        <f t="shared" ref="H453:H516" ca="1" si="215">H452+acc_z*pas</f>
        <v>-93.585080603651733</v>
      </c>
      <c r="I453" s="304">
        <f t="shared" ref="I453:I516" ca="1" si="216">SQRT(vit_x^2+vit_z^2)</f>
        <v>95.290298246562145</v>
      </c>
      <c r="J453" s="306">
        <f t="shared" ref="J453:J516" ca="1" si="217">J452+0.5*(vit_x+G452)*pas*(K452&gt;=0)</f>
        <v>673.79938768532372</v>
      </c>
      <c r="K453" s="307">
        <f t="shared" ref="K453:K516" ca="1" si="218">K452+0.5*(vit_z+H452)*pas</f>
        <v>768.46786269430788</v>
      </c>
      <c r="L453" s="304">
        <f t="shared" ca="1" si="203"/>
        <v>1022.0315410196863</v>
      </c>
      <c r="M453" s="306">
        <f t="shared" ref="M453:M516" ca="1" si="219">IF(AND(L452&gt;L_rampe,G453&gt;0),ATAN2(G453,H453),$M$4)</f>
        <v>-1.381330739896105</v>
      </c>
      <c r="N453" s="304">
        <f t="shared" ref="N453:N516" ca="1" si="220">DEGREES(Beta)</f>
        <v>-79.144421507730101</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8.0499999999999989</v>
      </c>
      <c r="T453" s="304">
        <f t="shared" ca="1" si="204"/>
        <v>78.970499999999987</v>
      </c>
      <c r="U453" s="311">
        <f t="shared" ca="1" si="205"/>
        <v>0</v>
      </c>
      <c r="V453" s="306">
        <f t="shared" ca="1" si="206"/>
        <v>1.1343459240205693</v>
      </c>
      <c r="W453" s="304">
        <f t="shared" ca="1" si="207"/>
        <v>32.005541097896582</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5.7061263459333791</v>
      </c>
      <c r="AH453" s="304">
        <f t="shared" ref="AH453:AH516" ca="1" si="231">IF(AND(L452&lt;L_rampe,Poussee&lt;Poids*SIN(M452)), g*SIN(M452), (-W452+Poussee)/m)</f>
        <v>-3.9246866955743553</v>
      </c>
    </row>
    <row r="454" spans="1:34" x14ac:dyDescent="0.3">
      <c r="A454" s="347">
        <f t="shared" ca="1" si="209"/>
        <v>0.1</v>
      </c>
      <c r="B454" s="304">
        <f t="shared" ca="1" si="210"/>
        <v>27.000000000000117</v>
      </c>
      <c r="D454" s="306">
        <f t="shared" ca="1" si="211"/>
        <v>-0.74878681799484648</v>
      </c>
      <c r="E454" s="307">
        <f t="shared" ca="1" si="212"/>
        <v>-5.9053040132021994</v>
      </c>
      <c r="F454" s="304">
        <f t="shared" ca="1" si="213"/>
        <v>5.9525874363292512</v>
      </c>
      <c r="G454" s="306">
        <f t="shared" ca="1" si="214"/>
        <v>17.871531218979388</v>
      </c>
      <c r="H454" s="307">
        <f t="shared" ca="1" si="215"/>
        <v>-94.175611004971955</v>
      </c>
      <c r="I454" s="304">
        <f t="shared" ca="1" si="216"/>
        <v>95.856336964598995</v>
      </c>
      <c r="J454" s="306">
        <f t="shared" ca="1" si="217"/>
        <v>675.59028474131162</v>
      </c>
      <c r="K454" s="307">
        <f t="shared" ca="1" si="218"/>
        <v>759.07982811387672</v>
      </c>
      <c r="L454" s="304">
        <f t="shared" ca="1" si="203"/>
        <v>1016.1812920371242</v>
      </c>
      <c r="M454" s="306">
        <f t="shared" ca="1" si="219"/>
        <v>-1.3832581642582085</v>
      </c>
      <c r="N454" s="304">
        <f t="shared" ca="1" si="220"/>
        <v>-79.254854789009329</v>
      </c>
      <c r="P454" s="310">
        <f t="shared" ca="1" si="221"/>
        <v>23</v>
      </c>
      <c r="Q454" s="304">
        <f t="shared" ca="1" si="222"/>
        <v>0</v>
      </c>
      <c r="R454" s="306">
        <f t="shared" ca="1" si="223"/>
        <v>0</v>
      </c>
      <c r="S454" s="307">
        <f t="shared" ca="1" si="224"/>
        <v>8.0499999999999989</v>
      </c>
      <c r="T454" s="304">
        <f t="shared" ca="1" si="204"/>
        <v>78.970499999999987</v>
      </c>
      <c r="U454" s="311">
        <f t="shared" ca="1" si="205"/>
        <v>0</v>
      </c>
      <c r="V454" s="306">
        <f t="shared" ca="1" si="206"/>
        <v>1.1354129087475082</v>
      </c>
      <c r="W454" s="304">
        <f t="shared" ca="1" si="207"/>
        <v>32.417369556047113</v>
      </c>
      <c r="Y454" s="314" t="str">
        <f t="shared" ca="1" si="225"/>
        <v/>
      </c>
      <c r="Z454" s="315" t="str">
        <f t="shared" ca="1" si="226"/>
        <v/>
      </c>
      <c r="AA454" s="316" t="str">
        <f t="shared" ca="1" si="227"/>
        <v/>
      </c>
      <c r="AC454" s="310">
        <f t="shared" ca="1" si="228"/>
        <v>27.000000000000117</v>
      </c>
      <c r="AD454" s="323">
        <f t="shared" ca="1" si="229"/>
        <v>675.59028474131162</v>
      </c>
      <c r="AE454" s="324" t="e">
        <f t="shared" ca="1" si="208"/>
        <v>#N/A</v>
      </c>
      <c r="AG454" s="306">
        <f t="shared" ca="1" si="230"/>
        <v>5.658606666392858</v>
      </c>
      <c r="AH454" s="304">
        <f t="shared" ca="1" si="231"/>
        <v>-3.9758436146455387</v>
      </c>
    </row>
    <row r="455" spans="1:34" x14ac:dyDescent="0.3">
      <c r="A455" s="347">
        <f t="shared" ca="1" si="209"/>
        <v>0.1</v>
      </c>
      <c r="B455" s="304">
        <f t="shared" ca="1" si="210"/>
        <v>27.100000000000119</v>
      </c>
      <c r="D455" s="306">
        <f t="shared" ca="1" si="211"/>
        <v>-0.75079751546446083</v>
      </c>
      <c r="E455" s="307">
        <f t="shared" ca="1" si="212"/>
        <v>-5.853606230853317</v>
      </c>
      <c r="F455" s="304">
        <f t="shared" ca="1" si="213"/>
        <v>5.9015593545360856</v>
      </c>
      <c r="G455" s="306">
        <f t="shared" ca="1" si="214"/>
        <v>17.796451467432941</v>
      </c>
      <c r="H455" s="307">
        <f t="shared" ca="1" si="215"/>
        <v>-94.760971628057291</v>
      </c>
      <c r="I455" s="304">
        <f t="shared" ca="1" si="216"/>
        <v>96.417609536464724</v>
      </c>
      <c r="J455" s="306">
        <f t="shared" ca="1" si="217"/>
        <v>677.3736838756322</v>
      </c>
      <c r="K455" s="307">
        <f t="shared" ca="1" si="218"/>
        <v>749.63299898222522</v>
      </c>
      <c r="L455" s="304">
        <f t="shared" ca="1" si="203"/>
        <v>1010.3389237133892</v>
      </c>
      <c r="M455" s="306">
        <f t="shared" ca="1" si="219"/>
        <v>-1.3851551053445292</v>
      </c>
      <c r="N455" s="304">
        <f t="shared" ca="1" si="220"/>
        <v>-79.36354150724047</v>
      </c>
      <c r="P455" s="310">
        <f t="shared" ca="1" si="221"/>
        <v>23</v>
      </c>
      <c r="Q455" s="304">
        <f t="shared" ca="1" si="222"/>
        <v>0</v>
      </c>
      <c r="R455" s="306">
        <f t="shared" ca="1" si="223"/>
        <v>0</v>
      </c>
      <c r="S455" s="307">
        <f t="shared" ca="1" si="224"/>
        <v>8.0499999999999989</v>
      </c>
      <c r="T455" s="304">
        <f t="shared" ca="1" si="204"/>
        <v>78.970499999999987</v>
      </c>
      <c r="U455" s="311">
        <f t="shared" ca="1" si="205"/>
        <v>0</v>
      </c>
      <c r="V455" s="306">
        <f t="shared" ca="1" si="206"/>
        <v>1.1364875502811767</v>
      </c>
      <c r="W455" s="304">
        <f t="shared" ca="1" si="207"/>
        <v>32.829153832892075</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5.6109909805441589</v>
      </c>
      <c r="AH455" s="304">
        <f t="shared" ca="1" si="231"/>
        <v>-4.0270024293226232</v>
      </c>
    </row>
    <row r="456" spans="1:34" x14ac:dyDescent="0.3">
      <c r="A456" s="347">
        <f t="shared" ca="1" si="209"/>
        <v>0.1</v>
      </c>
      <c r="B456" s="304">
        <f t="shared" ca="1" si="210"/>
        <v>27.20000000000012</v>
      </c>
      <c r="D456" s="306">
        <f t="shared" ca="1" si="211"/>
        <v>-0.75273283926842671</v>
      </c>
      <c r="E456" s="307">
        <f t="shared" ca="1" si="212"/>
        <v>-5.8019147164841298</v>
      </c>
      <c r="F456" s="304">
        <f t="shared" ca="1" si="213"/>
        <v>5.850540240410985</v>
      </c>
      <c r="G456" s="306">
        <f t="shared" ca="1" si="214"/>
        <v>17.721178183506098</v>
      </c>
      <c r="H456" s="307">
        <f t="shared" ca="1" si="215"/>
        <v>-95.34116309970571</v>
      </c>
      <c r="I456" s="304">
        <f t="shared" ca="1" si="216"/>
        <v>96.974107561844875</v>
      </c>
      <c r="J456" s="306">
        <f t="shared" ca="1" si="217"/>
        <v>679.14956535817919</v>
      </c>
      <c r="K456" s="307">
        <f t="shared" ca="1" si="218"/>
        <v>740.12789224583707</v>
      </c>
      <c r="L456" s="304">
        <f t="shared" ca="1" si="203"/>
        <v>1004.5065599618896</v>
      </c>
      <c r="M456" s="306">
        <f t="shared" ca="1" si="219"/>
        <v>-1.3870223039866203</v>
      </c>
      <c r="N456" s="304">
        <f t="shared" ca="1" si="220"/>
        <v>-79.470524108944844</v>
      </c>
      <c r="P456" s="310">
        <f t="shared" ca="1" si="221"/>
        <v>23</v>
      </c>
      <c r="Q456" s="304">
        <f t="shared" ca="1" si="222"/>
        <v>0</v>
      </c>
      <c r="R456" s="306">
        <f t="shared" ca="1" si="223"/>
        <v>0</v>
      </c>
      <c r="S456" s="307">
        <f t="shared" ca="1" si="224"/>
        <v>8.0499999999999989</v>
      </c>
      <c r="T456" s="304">
        <f t="shared" ca="1" si="204"/>
        <v>78.970499999999987</v>
      </c>
      <c r="U456" s="311">
        <f t="shared" ca="1" si="205"/>
        <v>0</v>
      </c>
      <c r="V456" s="306">
        <f t="shared" ca="1" si="206"/>
        <v>1.1375698093366027</v>
      </c>
      <c r="W456" s="304">
        <f t="shared" ca="1" si="207"/>
        <v>33.240835201118983</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5.5632897867304338</v>
      </c>
      <c r="AH456" s="304">
        <f t="shared" ca="1" si="231"/>
        <v>-4.0781557556387673</v>
      </c>
    </row>
    <row r="457" spans="1:34" x14ac:dyDescent="0.3">
      <c r="A457" s="347">
        <f t="shared" ca="1" si="209"/>
        <v>0.1</v>
      </c>
      <c r="B457" s="304">
        <f t="shared" ca="1" si="210"/>
        <v>27.300000000000122</v>
      </c>
      <c r="D457" s="306">
        <f t="shared" ca="1" si="211"/>
        <v>-0.75459313123935889</v>
      </c>
      <c r="E457" s="307">
        <f t="shared" ca="1" si="212"/>
        <v>-5.7502368141430509</v>
      </c>
      <c r="F457" s="304">
        <f t="shared" ca="1" si="213"/>
        <v>5.7995374136597864</v>
      </c>
      <c r="G457" s="306">
        <f t="shared" ca="1" si="214"/>
        <v>17.645718870382161</v>
      </c>
      <c r="H457" s="307">
        <f t="shared" ca="1" si="215"/>
        <v>-95.916186781120018</v>
      </c>
      <c r="I457" s="304">
        <f t="shared" ca="1" si="216"/>
        <v>97.525823662675435</v>
      </c>
      <c r="J457" s="306">
        <f t="shared" ca="1" si="217"/>
        <v>680.91791021087363</v>
      </c>
      <c r="K457" s="307">
        <f t="shared" ca="1" si="218"/>
        <v>730.56502475179582</v>
      </c>
      <c r="L457" s="304">
        <f t="shared" ca="1" si="203"/>
        <v>998.68636509994235</v>
      </c>
      <c r="M457" s="306">
        <f t="shared" ca="1" si="219"/>
        <v>-1.388860477169529</v>
      </c>
      <c r="N457" s="304">
        <f t="shared" ca="1" si="220"/>
        <v>-79.575843674339637</v>
      </c>
      <c r="P457" s="310">
        <f t="shared" ca="1" si="221"/>
        <v>23</v>
      </c>
      <c r="Q457" s="304">
        <f t="shared" ca="1" si="222"/>
        <v>0</v>
      </c>
      <c r="R457" s="306">
        <f t="shared" ca="1" si="223"/>
        <v>0</v>
      </c>
      <c r="S457" s="307">
        <f t="shared" ca="1" si="224"/>
        <v>8.0499999999999989</v>
      </c>
      <c r="T457" s="304">
        <f t="shared" ca="1" si="204"/>
        <v>78.970499999999987</v>
      </c>
      <c r="U457" s="311">
        <f t="shared" ca="1" si="205"/>
        <v>0</v>
      </c>
      <c r="V457" s="306">
        <f t="shared" ca="1" si="206"/>
        <v>1.1386596465892358</v>
      </c>
      <c r="W457" s="304">
        <f t="shared" ca="1" si="207"/>
        <v>33.652355657137846</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5.5155133681771291</v>
      </c>
      <c r="AH457" s="304">
        <f t="shared" ca="1" si="231"/>
        <v>-4.1292962982756505</v>
      </c>
    </row>
    <row r="458" spans="1:34" x14ac:dyDescent="0.3">
      <c r="A458" s="347">
        <f t="shared" ca="1" si="209"/>
        <v>0.1</v>
      </c>
      <c r="B458" s="304">
        <f t="shared" ca="1" si="210"/>
        <v>27.400000000000123</v>
      </c>
      <c r="D458" s="306">
        <f t="shared" ca="1" si="211"/>
        <v>-0.75637874931813009</v>
      </c>
      <c r="E458" s="307">
        <f t="shared" ca="1" si="212"/>
        <v>-5.6985797779177423</v>
      </c>
      <c r="F458" s="304">
        <f t="shared" ca="1" si="213"/>
        <v>5.7485581059699733</v>
      </c>
      <c r="G458" s="306">
        <f t="shared" ca="1" si="214"/>
        <v>17.570080995450347</v>
      </c>
      <c r="H458" s="307">
        <f t="shared" ca="1" si="215"/>
        <v>-96.486044758911788</v>
      </c>
      <c r="I458" s="304">
        <f t="shared" ca="1" si="216"/>
        <v>98.072751462398628</v>
      </c>
      <c r="J458" s="306">
        <f t="shared" ca="1" si="217"/>
        <v>682.67870020416524</v>
      </c>
      <c r="K458" s="307">
        <f t="shared" ca="1" si="218"/>
        <v>720.94491317479424</v>
      </c>
      <c r="L458" s="304">
        <f t="shared" ca="1" si="203"/>
        <v>992.88054444885779</v>
      </c>
      <c r="M458" s="306">
        <f t="shared" ca="1" si="219"/>
        <v>-1.3906703189663638</v>
      </c>
      <c r="N458" s="304">
        <f t="shared" ca="1" si="220"/>
        <v>-79.679539970884647</v>
      </c>
      <c r="P458" s="310">
        <f t="shared" ca="1" si="221"/>
        <v>23</v>
      </c>
      <c r="Q458" s="304">
        <f t="shared" ca="1" si="222"/>
        <v>0</v>
      </c>
      <c r="R458" s="306">
        <f t="shared" ca="1" si="223"/>
        <v>0</v>
      </c>
      <c r="S458" s="307">
        <f t="shared" ca="1" si="224"/>
        <v>8.0499999999999989</v>
      </c>
      <c r="T458" s="304">
        <f t="shared" ca="1" si="204"/>
        <v>78.970499999999987</v>
      </c>
      <c r="U458" s="311">
        <f t="shared" ca="1" si="205"/>
        <v>0</v>
      </c>
      <c r="V458" s="306">
        <f t="shared" ca="1" si="206"/>
        <v>1.1397570226802165</v>
      </c>
      <c r="W458" s="304">
        <f t="shared" ca="1" si="207"/>
        <v>34.063657930696017</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5.4676717977820175</v>
      </c>
      <c r="AH458" s="304">
        <f t="shared" ca="1" si="231"/>
        <v>-4.1804168518183662</v>
      </c>
    </row>
    <row r="459" spans="1:34" x14ac:dyDescent="0.3">
      <c r="A459" s="347">
        <f t="shared" ca="1" si="209"/>
        <v>0.1</v>
      </c>
      <c r="B459" s="304">
        <f t="shared" ca="1" si="210"/>
        <v>27.500000000000124</v>
      </c>
      <c r="D459" s="306">
        <f t="shared" ca="1" si="211"/>
        <v>-0.7580900671155949</v>
      </c>
      <c r="E459" s="307">
        <f t="shared" ca="1" si="212"/>
        <v>-5.6469507706912596</v>
      </c>
      <c r="F459" s="304">
        <f t="shared" ca="1" si="213"/>
        <v>5.697609459805923</v>
      </c>
      <c r="G459" s="306">
        <f t="shared" ca="1" si="214"/>
        <v>17.494271988738788</v>
      </c>
      <c r="H459" s="307">
        <f t="shared" ca="1" si="215"/>
        <v>-97.05073983598092</v>
      </c>
      <c r="I459" s="304">
        <f t="shared" ca="1" si="216"/>
        <v>98.614885565654959</v>
      </c>
      <c r="J459" s="306">
        <f t="shared" ca="1" si="217"/>
        <v>684.43191785337467</v>
      </c>
      <c r="K459" s="307">
        <f t="shared" ca="1" si="218"/>
        <v>711.26807394504965</v>
      </c>
      <c r="L459" s="304">
        <f t="shared" ca="1" si="203"/>
        <v>987.0913449068172</v>
      </c>
      <c r="M459" s="306">
        <f t="shared" ca="1" si="219"/>
        <v>-1.3924525014300202</v>
      </c>
      <c r="N459" s="304">
        <f t="shared" ca="1" si="220"/>
        <v>-79.781651504374381</v>
      </c>
      <c r="P459" s="310">
        <f t="shared" ca="1" si="221"/>
        <v>23</v>
      </c>
      <c r="Q459" s="304">
        <f t="shared" ca="1" si="222"/>
        <v>0</v>
      </c>
      <c r="R459" s="306">
        <f t="shared" ca="1" si="223"/>
        <v>0</v>
      </c>
      <c r="S459" s="307">
        <f t="shared" ca="1" si="224"/>
        <v>8.0499999999999989</v>
      </c>
      <c r="T459" s="304">
        <f t="shared" ca="1" si="204"/>
        <v>78.970499999999987</v>
      </c>
      <c r="U459" s="311">
        <f t="shared" ca="1" si="205"/>
        <v>0</v>
      </c>
      <c r="V459" s="306">
        <f t="shared" ca="1" si="206"/>
        <v>1.1408618982215977</v>
      </c>
      <c r="W459" s="304">
        <f t="shared" ca="1" si="207"/>
        <v>34.474685494008114</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5.4197749426354349</v>
      </c>
      <c r="AH459" s="304">
        <f t="shared" ca="1" si="231"/>
        <v>-4.2315103019498164</v>
      </c>
    </row>
    <row r="460" spans="1:34" x14ac:dyDescent="0.3">
      <c r="A460" s="347">
        <f t="shared" ca="1" si="209"/>
        <v>0.1</v>
      </c>
      <c r="B460" s="304">
        <f t="shared" ca="1" si="210"/>
        <v>27.600000000000126</v>
      </c>
      <c r="D460" s="306">
        <f t="shared" ca="1" si="211"/>
        <v>-0.75972747347870873</v>
      </c>
      <c r="E460" s="307">
        <f t="shared" ca="1" si="212"/>
        <v>-5.5953568629611317</v>
      </c>
      <c r="F460" s="304">
        <f t="shared" ca="1" si="213"/>
        <v>5.6466985272674668</v>
      </c>
      <c r="G460" s="306">
        <f t="shared" ca="1" si="214"/>
        <v>17.418299241390915</v>
      </c>
      <c r="H460" s="307">
        <f t="shared" ca="1" si="215"/>
        <v>-97.610275522277036</v>
      </c>
      <c r="I460" s="304">
        <f t="shared" ca="1" si="216"/>
        <v>99.152221538387508</v>
      </c>
      <c r="J460" s="306">
        <f t="shared" ca="1" si="217"/>
        <v>686.17754641488114</v>
      </c>
      <c r="K460" s="307">
        <f t="shared" ca="1" si="218"/>
        <v>701.53502317713674</v>
      </c>
      <c r="L460" s="304">
        <f t="shared" ca="1" si="203"/>
        <v>981.32105549004314</v>
      </c>
      <c r="M460" s="306">
        <f t="shared" ca="1" si="219"/>
        <v>-1.3942076754442994</v>
      </c>
      <c r="N460" s="304">
        <f t="shared" ca="1" si="220"/>
        <v>-79.882215567703611</v>
      </c>
      <c r="P460" s="310">
        <f t="shared" ca="1" si="221"/>
        <v>23</v>
      </c>
      <c r="Q460" s="304">
        <f t="shared" ca="1" si="222"/>
        <v>0</v>
      </c>
      <c r="R460" s="306">
        <f t="shared" ca="1" si="223"/>
        <v>0</v>
      </c>
      <c r="S460" s="307">
        <f t="shared" ca="1" si="224"/>
        <v>8.0499999999999989</v>
      </c>
      <c r="T460" s="304">
        <f t="shared" ca="1" si="204"/>
        <v>78.970499999999987</v>
      </c>
      <c r="U460" s="311">
        <f t="shared" ca="1" si="205"/>
        <v>0</v>
      </c>
      <c r="V460" s="306">
        <f t="shared" ca="1" si="206"/>
        <v>1.1419742338015184</v>
      </c>
      <c r="W460" s="304">
        <f t="shared" ca="1" si="207"/>
        <v>34.885382570404332</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5.3718324682906999</v>
      </c>
      <c r="AH460" s="304">
        <f t="shared" ca="1" si="231"/>
        <v>-4.2825696265848592</v>
      </c>
    </row>
    <row r="461" spans="1:34" x14ac:dyDescent="0.3">
      <c r="A461" s="347">
        <f t="shared" ca="1" si="209"/>
        <v>0.1</v>
      </c>
      <c r="B461" s="304">
        <f t="shared" ca="1" si="210"/>
        <v>27.700000000000127</v>
      </c>
      <c r="D461" s="306">
        <f t="shared" ca="1" si="211"/>
        <v>-0.76129137206096387</v>
      </c>
      <c r="E461" s="307">
        <f t="shared" ca="1" si="212"/>
        <v>-5.5438050317208214</v>
      </c>
      <c r="F461" s="304">
        <f t="shared" ca="1" si="213"/>
        <v>5.5958322690112468</v>
      </c>
      <c r="G461" s="306">
        <f t="shared" ca="1" si="214"/>
        <v>17.34217010418482</v>
      </c>
      <c r="H461" s="307">
        <f t="shared" ca="1" si="215"/>
        <v>-98.164656025449119</v>
      </c>
      <c r="I461" s="304">
        <f t="shared" ca="1" si="216"/>
        <v>99.68475588833644</v>
      </c>
      <c r="J461" s="306">
        <f t="shared" ca="1" si="217"/>
        <v>687.91556988215996</v>
      </c>
      <c r="K461" s="307">
        <f t="shared" ca="1" si="218"/>
        <v>691.74627659975044</v>
      </c>
      <c r="L461" s="304">
        <f t="shared" ca="1" si="203"/>
        <v>975.57200783740984</v>
      </c>
      <c r="M461" s="306">
        <f t="shared" ca="1" si="219"/>
        <v>-1.3959364715365237</v>
      </c>
      <c r="N461" s="304">
        <f t="shared" ca="1" si="220"/>
        <v>-79.981268287426772</v>
      </c>
      <c r="P461" s="310">
        <f t="shared" ca="1" si="221"/>
        <v>23</v>
      </c>
      <c r="Q461" s="304">
        <f t="shared" ca="1" si="222"/>
        <v>0</v>
      </c>
      <c r="R461" s="306">
        <f t="shared" ca="1" si="223"/>
        <v>0</v>
      </c>
      <c r="S461" s="307">
        <f t="shared" ca="1" si="224"/>
        <v>8.0499999999999989</v>
      </c>
      <c r="T461" s="304">
        <f t="shared" ca="1" si="204"/>
        <v>78.970499999999987</v>
      </c>
      <c r="U461" s="311">
        <f t="shared" ca="1" si="205"/>
        <v>0</v>
      </c>
      <c r="V461" s="306">
        <f t="shared" ca="1" si="206"/>
        <v>1.1430939899893315</v>
      </c>
      <c r="W461" s="304">
        <f t="shared" ca="1" si="207"/>
        <v>35.295694142500295</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5.3238538428030955</v>
      </c>
      <c r="AH461" s="304">
        <f t="shared" ca="1" si="231"/>
        <v>-4.3335878969446382</v>
      </c>
    </row>
    <row r="462" spans="1:34" x14ac:dyDescent="0.3">
      <c r="A462" s="347">
        <f t="shared" ca="1" si="209"/>
        <v>0.1</v>
      </c>
      <c r="B462" s="304">
        <f t="shared" ca="1" si="210"/>
        <v>27.800000000000129</v>
      </c>
      <c r="D462" s="306">
        <f t="shared" ca="1" si="211"/>
        <v>-0.76278218089707783</v>
      </c>
      <c r="E462" s="307">
        <f t="shared" ca="1" si="212"/>
        <v>-5.492302159403061</v>
      </c>
      <c r="F462" s="304">
        <f t="shared" ca="1" si="213"/>
        <v>5.545017553234401</v>
      </c>
      <c r="G462" s="306">
        <f t="shared" ca="1" si="214"/>
        <v>17.265891886095112</v>
      </c>
      <c r="H462" s="307">
        <f t="shared" ca="1" si="215"/>
        <v>-98.713886241389432</v>
      </c>
      <c r="I462" s="304">
        <f t="shared" ca="1" si="216"/>
        <v>100.21248604590298</v>
      </c>
      <c r="J462" s="306">
        <f t="shared" ca="1" si="217"/>
        <v>689.64597298167394</v>
      </c>
      <c r="K462" s="307">
        <f t="shared" ca="1" si="218"/>
        <v>681.90234948640853</v>
      </c>
      <c r="L462" s="304">
        <f t="shared" ca="1" si="203"/>
        <v>969.84657667330237</v>
      </c>
      <c r="M462" s="306">
        <f t="shared" ca="1" si="219"/>
        <v>-1.3976395006536271</v>
      </c>
      <c r="N462" s="304">
        <f t="shared" ca="1" si="220"/>
        <v>-80.07884466822469</v>
      </c>
      <c r="P462" s="310">
        <f t="shared" ca="1" si="221"/>
        <v>23</v>
      </c>
      <c r="Q462" s="304">
        <f t="shared" ca="1" si="222"/>
        <v>0</v>
      </c>
      <c r="R462" s="306">
        <f t="shared" ca="1" si="223"/>
        <v>0</v>
      </c>
      <c r="S462" s="307">
        <f t="shared" ca="1" si="224"/>
        <v>8.0499999999999989</v>
      </c>
      <c r="T462" s="304">
        <f t="shared" ca="1" si="204"/>
        <v>78.970499999999987</v>
      </c>
      <c r="U462" s="311">
        <f t="shared" ca="1" si="205"/>
        <v>0</v>
      </c>
      <c r="V462" s="306">
        <f t="shared" ca="1" si="206"/>
        <v>1.1442211273406777</v>
      </c>
      <c r="W462" s="304">
        <f t="shared" ca="1" si="207"/>
        <v>35.705565959891771</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5.2758483405546448</v>
      </c>
      <c r="AH462" s="304">
        <f t="shared" ca="1" si="231"/>
        <v>-4.3845582785714656</v>
      </c>
    </row>
    <row r="463" spans="1:34" x14ac:dyDescent="0.3">
      <c r="A463" s="347">
        <f t="shared" ca="1" si="209"/>
        <v>0.1</v>
      </c>
      <c r="B463" s="304">
        <f t="shared" ca="1" si="210"/>
        <v>27.90000000000013</v>
      </c>
      <c r="D463" s="306">
        <f t="shared" ca="1" si="211"/>
        <v>-0.76420033198189274</v>
      </c>
      <c r="E463" s="307">
        <f t="shared" ca="1" si="212"/>
        <v>-5.4408550328845129</v>
      </c>
      <c r="F463" s="304">
        <f t="shared" ca="1" si="213"/>
        <v>5.4942611547200748</v>
      </c>
      <c r="G463" s="306">
        <f t="shared" ca="1" si="214"/>
        <v>17.189471852896922</v>
      </c>
      <c r="H463" s="307">
        <f t="shared" ca="1" si="215"/>
        <v>-99.257971744677889</v>
      </c>
      <c r="I463" s="304">
        <f t="shared" ca="1" si="216"/>
        <v>100.7354103453637</v>
      </c>
      <c r="J463" s="306">
        <f t="shared" ca="1" si="217"/>
        <v>691.3687411686235</v>
      </c>
      <c r="K463" s="307">
        <f t="shared" ca="1" si="218"/>
        <v>672.00375658710516</v>
      </c>
      <c r="L463" s="304">
        <f t="shared" ca="1" si="203"/>
        <v>964.1471802231589</v>
      </c>
      <c r="M463" s="306">
        <f t="shared" ca="1" si="219"/>
        <v>-1.3993173549035942</v>
      </c>
      <c r="N463" s="304">
        <f t="shared" ca="1" si="220"/>
        <v>-80.174978635385898</v>
      </c>
      <c r="P463" s="310">
        <f t="shared" ca="1" si="221"/>
        <v>23</v>
      </c>
      <c r="Q463" s="304">
        <f t="shared" ca="1" si="222"/>
        <v>0</v>
      </c>
      <c r="R463" s="306">
        <f t="shared" ca="1" si="223"/>
        <v>0</v>
      </c>
      <c r="S463" s="307">
        <f t="shared" ca="1" si="224"/>
        <v>8.0499999999999989</v>
      </c>
      <c r="T463" s="304">
        <f t="shared" ca="1" si="204"/>
        <v>78.970499999999987</v>
      </c>
      <c r="U463" s="311">
        <f t="shared" ca="1" si="205"/>
        <v>0</v>
      </c>
      <c r="V463" s="306">
        <f t="shared" ca="1" si="206"/>
        <v>1.1453556064025103</v>
      </c>
      <c r="W463" s="304">
        <f t="shared" ca="1" si="207"/>
        <v>36.114944546378254</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5.2278250458806381</v>
      </c>
      <c r="AH463" s="304">
        <f t="shared" ca="1" si="231"/>
        <v>-4.4354740322846924</v>
      </c>
    </row>
    <row r="464" spans="1:34" x14ac:dyDescent="0.3">
      <c r="A464" s="347">
        <f t="shared" ca="1" si="209"/>
        <v>0.1</v>
      </c>
      <c r="B464" s="304">
        <f t="shared" ca="1" si="210"/>
        <v>28.000000000000131</v>
      </c>
      <c r="D464" s="306">
        <f t="shared" ca="1" si="211"/>
        <v>-0.76554627085342697</v>
      </c>
      <c r="E464" s="307">
        <f t="shared" ca="1" si="212"/>
        <v>-5.3894703425511574</v>
      </c>
      <c r="F464" s="304">
        <f t="shared" ca="1" si="213"/>
        <v>5.4435697539441961</v>
      </c>
      <c r="G464" s="306">
        <f t="shared" ca="1" si="214"/>
        <v>17.112917225811579</v>
      </c>
      <c r="H464" s="307">
        <f t="shared" ca="1" si="215"/>
        <v>-99.796918778933005</v>
      </c>
      <c r="I464" s="304">
        <f t="shared" ca="1" si="216"/>
        <v>101.25352800641778</v>
      </c>
      <c r="J464" s="306">
        <f t="shared" ca="1" si="217"/>
        <v>693.08386062255897</v>
      </c>
      <c r="K464" s="307">
        <f t="shared" ca="1" si="218"/>
        <v>662.05101206092456</v>
      </c>
      <c r="L464" s="304">
        <f t="shared" ca="1" si="203"/>
        <v>958.47628057577163</v>
      </c>
      <c r="M464" s="306">
        <f t="shared" ca="1" si="219"/>
        <v>-1.4009706082640045</v>
      </c>
      <c r="N464" s="304">
        <f t="shared" ca="1" si="220"/>
        <v>-80.269703075403228</v>
      </c>
      <c r="P464" s="310">
        <f t="shared" ca="1" si="221"/>
        <v>23</v>
      </c>
      <c r="Q464" s="304">
        <f t="shared" ca="1" si="222"/>
        <v>0</v>
      </c>
      <c r="R464" s="306">
        <f t="shared" ca="1" si="223"/>
        <v>0</v>
      </c>
      <c r="S464" s="307">
        <f t="shared" ca="1" si="224"/>
        <v>8.0499999999999989</v>
      </c>
      <c r="T464" s="304">
        <f t="shared" ca="1" si="204"/>
        <v>78.970499999999987</v>
      </c>
      <c r="U464" s="311">
        <f t="shared" ca="1" si="205"/>
        <v>0</v>
      </c>
      <c r="V464" s="306">
        <f t="shared" ca="1" si="206"/>
        <v>1.1464973877180706</v>
      </c>
      <c r="W464" s="304">
        <f t="shared" ca="1" si="207"/>
        <v>36.523777206719451</v>
      </c>
      <c r="Y464" s="314" t="str">
        <f t="shared" ca="1" si="225"/>
        <v/>
      </c>
      <c r="Z464" s="315" t="str">
        <f t="shared" ca="1" si="226"/>
        <v/>
      </c>
      <c r="AA464" s="316" t="str">
        <f t="shared" ca="1" si="227"/>
        <v/>
      </c>
      <c r="AC464" s="310">
        <f t="shared" ca="1" si="228"/>
        <v>28.000000000000131</v>
      </c>
      <c r="AD464" s="323">
        <f t="shared" ca="1" si="229"/>
        <v>693.08386062255897</v>
      </c>
      <c r="AE464" s="324" t="e">
        <f t="shared" ca="1" si="208"/>
        <v>#N/A</v>
      </c>
      <c r="AG464" s="306">
        <f t="shared" ca="1" si="230"/>
        <v>5.1797928565127656</v>
      </c>
      <c r="AH464" s="304">
        <f t="shared" ca="1" si="231"/>
        <v>-4.4863285150780445</v>
      </c>
    </row>
    <row r="465" spans="1:34" x14ac:dyDescent="0.3">
      <c r="A465" s="347">
        <f t="shared" ca="1" si="209"/>
        <v>0.1</v>
      </c>
      <c r="B465" s="304">
        <f t="shared" ca="1" si="210"/>
        <v>28.100000000000133</v>
      </c>
      <c r="D465" s="306">
        <f t="shared" ca="1" si="211"/>
        <v>-0.76682045618007633</v>
      </c>
      <c r="E465" s="307">
        <f t="shared" ca="1" si="212"/>
        <v>-5.3381546814238048</v>
      </c>
      <c r="F465" s="304">
        <f t="shared" ca="1" si="213"/>
        <v>5.3929499362429745</v>
      </c>
      <c r="G465" s="306">
        <f t="shared" ca="1" si="214"/>
        <v>17.036235180193572</v>
      </c>
      <c r="H465" s="307">
        <f t="shared" ca="1" si="215"/>
        <v>-100.33073424707538</v>
      </c>
      <c r="I465" s="304">
        <f t="shared" ca="1" si="216"/>
        <v>101.76683911605062</v>
      </c>
      <c r="J465" s="306">
        <f t="shared" ca="1" si="217"/>
        <v>694.79131824285923</v>
      </c>
      <c r="K465" s="307">
        <f t="shared" ca="1" si="218"/>
        <v>652.04462940962412</v>
      </c>
      <c r="L465" s="304">
        <f t="shared" ca="1" si="203"/>
        <v>952.83638398603568</v>
      </c>
      <c r="M465" s="306">
        <f t="shared" ca="1" si="219"/>
        <v>-1.4025998172593475</v>
      </c>
      <c r="N465" s="304">
        <f t="shared" ca="1" si="220"/>
        <v>-80.363049874781126</v>
      </c>
      <c r="P465" s="310">
        <f t="shared" ca="1" si="221"/>
        <v>23</v>
      </c>
      <c r="Q465" s="304">
        <f t="shared" ca="1" si="222"/>
        <v>0</v>
      </c>
      <c r="R465" s="306">
        <f t="shared" ca="1" si="223"/>
        <v>0</v>
      </c>
      <c r="S465" s="307">
        <f t="shared" ca="1" si="224"/>
        <v>8.0499999999999989</v>
      </c>
      <c r="T465" s="304">
        <f t="shared" ca="1" si="204"/>
        <v>78.970499999999987</v>
      </c>
      <c r="U465" s="311">
        <f t="shared" ca="1" si="205"/>
        <v>0</v>
      </c>
      <c r="V465" s="306">
        <f t="shared" ca="1" si="206"/>
        <v>1.147646431831808</v>
      </c>
      <c r="W465" s="304">
        <f t="shared" ca="1" si="207"/>
        <v>36.932012032929023</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5.1317604868526558</v>
      </c>
      <c r="AH465" s="304">
        <f t="shared" ca="1" si="231"/>
        <v>-4.5371151809589385</v>
      </c>
    </row>
    <row r="466" spans="1:34" x14ac:dyDescent="0.3">
      <c r="A466" s="347">
        <f t="shared" ca="1" si="209"/>
        <v>0.1</v>
      </c>
      <c r="B466" s="304">
        <f t="shared" ca="1" si="210"/>
        <v>28.200000000000134</v>
      </c>
      <c r="D466" s="306">
        <f t="shared" ca="1" si="211"/>
        <v>-0.76802335935192756</v>
      </c>
      <c r="E466" s="307">
        <f t="shared" ca="1" si="212"/>
        <v>-5.2869145443430767</v>
      </c>
      <c r="F466" s="304">
        <f t="shared" ca="1" si="213"/>
        <v>5.3424081910404961</v>
      </c>
      <c r="G466" s="306">
        <f t="shared" ca="1" si="214"/>
        <v>16.95943284425838</v>
      </c>
      <c r="H466" s="307">
        <f t="shared" ca="1" si="215"/>
        <v>-100.85942570150969</v>
      </c>
      <c r="I466" s="304">
        <f t="shared" ca="1" si="216"/>
        <v>102.27534461069914</v>
      </c>
      <c r="J466" s="306">
        <f t="shared" ca="1" si="217"/>
        <v>696.49110164408182</v>
      </c>
      <c r="K466" s="307">
        <f t="shared" ca="1" si="218"/>
        <v>641.98512141219487</v>
      </c>
      <c r="L466" s="304">
        <f t="shared" ca="1" si="203"/>
        <v>947.23004111145951</v>
      </c>
      <c r="M466" s="306">
        <f t="shared" ca="1" si="219"/>
        <v>-1.4042055216086766</v>
      </c>
      <c r="N466" s="304">
        <f t="shared" ca="1" si="220"/>
        <v>-80.455049957143487</v>
      </c>
      <c r="P466" s="310">
        <f t="shared" ca="1" si="221"/>
        <v>23</v>
      </c>
      <c r="Q466" s="304">
        <f t="shared" ca="1" si="222"/>
        <v>0</v>
      </c>
      <c r="R466" s="306">
        <f t="shared" ca="1" si="223"/>
        <v>0</v>
      </c>
      <c r="S466" s="307">
        <f t="shared" ca="1" si="224"/>
        <v>8.0499999999999989</v>
      </c>
      <c r="T466" s="304">
        <f t="shared" ca="1" si="204"/>
        <v>78.970499999999987</v>
      </c>
      <c r="U466" s="311">
        <f t="shared" ca="1" si="205"/>
        <v>0</v>
      </c>
      <c r="V466" s="306">
        <f t="shared" ca="1" si="206"/>
        <v>1.1488026992942493</v>
      </c>
      <c r="W466" s="304">
        <f t="shared" ca="1" si="207"/>
        <v>37.339597910110271</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5.0837364710886845</v>
      </c>
      <c r="AH466" s="304">
        <f t="shared" ca="1" si="231"/>
        <v>-4.5878275817303145</v>
      </c>
    </row>
    <row r="467" spans="1:34" x14ac:dyDescent="0.3">
      <c r="A467" s="347">
        <f t="shared" ca="1" si="209"/>
        <v>0.1</v>
      </c>
      <c r="B467" s="304">
        <f t="shared" ca="1" si="210"/>
        <v>28.300000000000136</v>
      </c>
      <c r="D467" s="306">
        <f t="shared" ca="1" si="211"/>
        <v>-0.76915546407617741</v>
      </c>
      <c r="E467" s="307">
        <f t="shared" ca="1" si="212"/>
        <v>-5.2357563272132071</v>
      </c>
      <c r="F467" s="304">
        <f t="shared" ca="1" si="213"/>
        <v>5.2919509111358325</v>
      </c>
      <c r="G467" s="306">
        <f t="shared" ca="1" si="214"/>
        <v>16.882517297850761</v>
      </c>
      <c r="H467" s="307">
        <f t="shared" ca="1" si="215"/>
        <v>-101.38300133423101</v>
      </c>
      <c r="I467" s="304">
        <f t="shared" ca="1" si="216"/>
        <v>102.7790462587045</v>
      </c>
      <c r="J467" s="306">
        <f t="shared" ca="1" si="217"/>
        <v>698.1831991511873</v>
      </c>
      <c r="K467" s="307">
        <f t="shared" ca="1" si="218"/>
        <v>631.87300006040789</v>
      </c>
      <c r="L467" s="304">
        <f t="shared" ca="1" si="203"/>
        <v>941.6598471753623</v>
      </c>
      <c r="M467" s="306">
        <f t="shared" ca="1" si="219"/>
        <v>-1.4057882448450831</v>
      </c>
      <c r="N467" s="304">
        <f t="shared" ca="1" si="220"/>
        <v>-80.545733318726874</v>
      </c>
      <c r="P467" s="310">
        <f t="shared" ca="1" si="221"/>
        <v>23</v>
      </c>
      <c r="Q467" s="304">
        <f t="shared" ca="1" si="222"/>
        <v>0</v>
      </c>
      <c r="R467" s="306">
        <f t="shared" ca="1" si="223"/>
        <v>0</v>
      </c>
      <c r="S467" s="307">
        <f t="shared" ca="1" si="224"/>
        <v>8.0499999999999989</v>
      </c>
      <c r="T467" s="304">
        <f t="shared" ca="1" si="204"/>
        <v>78.970499999999987</v>
      </c>
      <c r="U467" s="311">
        <f t="shared" ca="1" si="205"/>
        <v>0</v>
      </c>
      <c r="V467" s="306">
        <f t="shared" ca="1" si="206"/>
        <v>1.1499661506668122</v>
      </c>
      <c r="W467" s="304">
        <f t="shared" ca="1" si="207"/>
        <v>37.746484521838418</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5.0357291661679469</v>
      </c>
      <c r="AH467" s="304">
        <f t="shared" ca="1" si="231"/>
        <v>-4.6384593677155621</v>
      </c>
    </row>
    <row r="468" spans="1:34" x14ac:dyDescent="0.3">
      <c r="A468" s="347">
        <f t="shared" ca="1" si="209"/>
        <v>0.1</v>
      </c>
      <c r="B468" s="304">
        <f t="shared" ca="1" si="210"/>
        <v>28.400000000000137</v>
      </c>
      <c r="D468" s="306">
        <f t="shared" ca="1" si="211"/>
        <v>-0.77021726597665474</v>
      </c>
      <c r="E468" s="307">
        <f t="shared" ca="1" si="212"/>
        <v>-5.1846863263039671</v>
      </c>
      <c r="F468" s="304">
        <f t="shared" ca="1" si="213"/>
        <v>5.2415843920490186</v>
      </c>
      <c r="G468" s="306">
        <f t="shared" ca="1" si="214"/>
        <v>16.805495571253097</v>
      </c>
      <c r="H468" s="307">
        <f t="shared" ca="1" si="215"/>
        <v>-101.90146996686141</v>
      </c>
      <c r="I468" s="304">
        <f t="shared" ca="1" si="216"/>
        <v>103.27794664303975</v>
      </c>
      <c r="J468" s="306">
        <f t="shared" ca="1" si="217"/>
        <v>699.8675997946425</v>
      </c>
      <c r="K468" s="307">
        <f t="shared" ca="1" si="218"/>
        <v>621.70877649535328</v>
      </c>
      <c r="L468" s="304">
        <f t="shared" ca="1" si="203"/>
        <v>936.12844204930718</v>
      </c>
      <c r="M468" s="306">
        <f t="shared" ca="1" si="219"/>
        <v>-1.4073484949083865</v>
      </c>
      <c r="N468" s="304">
        <f t="shared" ca="1" si="220"/>
        <v>-80.635129062339175</v>
      </c>
      <c r="P468" s="310">
        <f t="shared" ca="1" si="221"/>
        <v>23</v>
      </c>
      <c r="Q468" s="304">
        <f t="shared" ca="1" si="222"/>
        <v>0</v>
      </c>
      <c r="R468" s="306">
        <f t="shared" ca="1" si="223"/>
        <v>0</v>
      </c>
      <c r="S468" s="307">
        <f t="shared" ca="1" si="224"/>
        <v>8.0499999999999989</v>
      </c>
      <c r="T468" s="304">
        <f t="shared" ca="1" si="204"/>
        <v>78.970499999999987</v>
      </c>
      <c r="U468" s="311">
        <f t="shared" ca="1" si="205"/>
        <v>0</v>
      </c>
      <c r="V468" s="306">
        <f t="shared" ca="1" si="206"/>
        <v>1.1511367465265661</v>
      </c>
      <c r="W468" s="304">
        <f t="shared" ca="1" si="207"/>
        <v>38.152622355094998</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4.9877467546345748</v>
      </c>
      <c r="AH468" s="304">
        <f t="shared" ca="1" si="231"/>
        <v>-4.6890042884271335</v>
      </c>
    </row>
    <row r="469" spans="1:34" x14ac:dyDescent="0.3">
      <c r="A469" s="347">
        <f t="shared" ca="1" si="209"/>
        <v>0.1</v>
      </c>
      <c r="B469" s="304">
        <f t="shared" ca="1" si="210"/>
        <v>28.500000000000139</v>
      </c>
      <c r="D469" s="306">
        <f t="shared" ca="1" si="211"/>
        <v>-0.7712092721974545</v>
      </c>
      <c r="E469" s="307">
        <f t="shared" ca="1" si="212"/>
        <v>-5.1337107376099782</v>
      </c>
      <c r="F469" s="304">
        <f t="shared" ca="1" si="213"/>
        <v>5.1913148314252053</v>
      </c>
      <c r="G469" s="306">
        <f t="shared" ca="1" si="214"/>
        <v>16.728374644033352</v>
      </c>
      <c r="H469" s="307">
        <f t="shared" ca="1" si="215"/>
        <v>-102.41484104062241</v>
      </c>
      <c r="I469" s="304">
        <f t="shared" ca="1" si="216"/>
        <v>103.77204914430038</v>
      </c>
      <c r="J469" s="306">
        <f t="shared" ca="1" si="217"/>
        <v>701.54429330540677</v>
      </c>
      <c r="K469" s="307">
        <f t="shared" ca="1" si="218"/>
        <v>611.49296094497913</v>
      </c>
      <c r="L469" s="304">
        <f t="shared" ca="1" si="203"/>
        <v>930.63851024693804</v>
      </c>
      <c r="M469" s="306">
        <f t="shared" ca="1" si="219"/>
        <v>-1.4088867647123653</v>
      </c>
      <c r="N469" s="304">
        <f t="shared" ca="1" si="220"/>
        <v>-80.72326542985958</v>
      </c>
      <c r="P469" s="310">
        <f t="shared" ca="1" si="221"/>
        <v>23</v>
      </c>
      <c r="Q469" s="304">
        <f t="shared" ca="1" si="222"/>
        <v>0</v>
      </c>
      <c r="R469" s="306">
        <f t="shared" ca="1" si="223"/>
        <v>0</v>
      </c>
      <c r="S469" s="307">
        <f t="shared" ca="1" si="224"/>
        <v>8.0499999999999989</v>
      </c>
      <c r="T469" s="304">
        <f t="shared" ca="1" si="204"/>
        <v>78.970499999999987</v>
      </c>
      <c r="U469" s="311">
        <f t="shared" ca="1" si="205"/>
        <v>0</v>
      </c>
      <c r="V469" s="306">
        <f t="shared" ca="1" si="206"/>
        <v>1.1523144474709361</v>
      </c>
      <c r="W469" s="304">
        <f t="shared" ca="1" si="207"/>
        <v>38.557962704759319</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4.9397972473446305</v>
      </c>
      <c r="AH469" s="304">
        <f t="shared" ca="1" si="231"/>
        <v>-4.7394561931795032</v>
      </c>
    </row>
    <row r="470" spans="1:34" x14ac:dyDescent="0.3">
      <c r="A470" s="347">
        <f t="shared" ca="1" si="209"/>
        <v>0.1</v>
      </c>
      <c r="B470" s="304">
        <f t="shared" ca="1" si="210"/>
        <v>28.60000000000014</v>
      </c>
      <c r="D470" s="306">
        <f t="shared" ca="1" si="211"/>
        <v>-0.77213200101068313</v>
      </c>
      <c r="E470" s="307">
        <f t="shared" ca="1" si="212"/>
        <v>-5.082835656266691</v>
      </c>
      <c r="F470" s="304">
        <f t="shared" ca="1" si="213"/>
        <v>5.1411483284963486</v>
      </c>
      <c r="G470" s="306">
        <f t="shared" ca="1" si="214"/>
        <v>16.651161443932285</v>
      </c>
      <c r="H470" s="307">
        <f t="shared" ca="1" si="215"/>
        <v>-102.92312460624908</v>
      </c>
      <c r="I470" s="304">
        <f t="shared" ca="1" si="216"/>
        <v>104.26135792394693</v>
      </c>
      <c r="J470" s="306">
        <f t="shared" ca="1" si="217"/>
        <v>703.21327010980508</v>
      </c>
      <c r="K470" s="307">
        <f t="shared" ca="1" si="218"/>
        <v>601.22606266263551</v>
      </c>
      <c r="L470" s="304">
        <f t="shared" ca="1" si="203"/>
        <v>925.19278082102494</v>
      </c>
      <c r="M470" s="306">
        <f t="shared" ca="1" si="219"/>
        <v>-1.4104035326877735</v>
      </c>
      <c r="N470" s="304">
        <f t="shared" ca="1" si="220"/>
        <v>-80.810169833351068</v>
      </c>
      <c r="P470" s="310">
        <f t="shared" ca="1" si="221"/>
        <v>23</v>
      </c>
      <c r="Q470" s="304">
        <f t="shared" ca="1" si="222"/>
        <v>0</v>
      </c>
      <c r="R470" s="306">
        <f t="shared" ca="1" si="223"/>
        <v>0</v>
      </c>
      <c r="S470" s="307">
        <f t="shared" ca="1" si="224"/>
        <v>8.0499999999999989</v>
      </c>
      <c r="T470" s="304">
        <f t="shared" ca="1" si="204"/>
        <v>78.970499999999987</v>
      </c>
      <c r="U470" s="311">
        <f t="shared" ca="1" si="205"/>
        <v>0</v>
      </c>
      <c r="V470" s="306">
        <f t="shared" ca="1" si="206"/>
        <v>1.1534992141223526</v>
      </c>
      <c r="W470" s="304">
        <f t="shared" ca="1" si="207"/>
        <v>38.962457677662769</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4.8918884860672405</v>
      </c>
      <c r="AH470" s="304">
        <f t="shared" ca="1" si="231"/>
        <v>-4.7898090316471214</v>
      </c>
    </row>
    <row r="471" spans="1:34" x14ac:dyDescent="0.3">
      <c r="A471" s="347">
        <f t="shared" ca="1" si="209"/>
        <v>0.1</v>
      </c>
      <c r="B471" s="304">
        <f t="shared" ca="1" si="210"/>
        <v>28.700000000000141</v>
      </c>
      <c r="D471" s="306">
        <f t="shared" ca="1" si="211"/>
        <v>-0.77298598142833874</v>
      </c>
      <c r="E471" s="307">
        <f t="shared" ca="1" si="212"/>
        <v>-5.0320670760222717</v>
      </c>
      <c r="F471" s="304">
        <f t="shared" ca="1" si="213"/>
        <v>5.0910908835997093</v>
      </c>
      <c r="G471" s="306">
        <f t="shared" ca="1" si="214"/>
        <v>16.573862845789449</v>
      </c>
      <c r="H471" s="307">
        <f t="shared" ca="1" si="215"/>
        <v>-103.42633131385131</v>
      </c>
      <c r="I471" s="304">
        <f t="shared" ca="1" si="216"/>
        <v>104.74587790778966</v>
      </c>
      <c r="J471" s="306">
        <f t="shared" ca="1" si="217"/>
        <v>704.87452132429121</v>
      </c>
      <c r="K471" s="307">
        <f t="shared" ca="1" si="218"/>
        <v>590.90858986663045</v>
      </c>
      <c r="L471" s="304">
        <f t="shared" ca="1" si="203"/>
        <v>919.79402715516608</v>
      </c>
      <c r="M471" s="306">
        <f t="shared" ca="1" si="219"/>
        <v>-1.4118992633023273</v>
      </c>
      <c r="N471" s="304">
        <f t="shared" ca="1" si="220"/>
        <v>-80.895868884853513</v>
      </c>
      <c r="P471" s="310">
        <f t="shared" ca="1" si="221"/>
        <v>23</v>
      </c>
      <c r="Q471" s="304">
        <f t="shared" ca="1" si="222"/>
        <v>0</v>
      </c>
      <c r="R471" s="306">
        <f t="shared" ca="1" si="223"/>
        <v>0</v>
      </c>
      <c r="S471" s="307">
        <f t="shared" ca="1" si="224"/>
        <v>8.0499999999999989</v>
      </c>
      <c r="T471" s="304">
        <f t="shared" ca="1" si="204"/>
        <v>78.970499999999987</v>
      </c>
      <c r="U471" s="311">
        <f t="shared" ca="1" si="205"/>
        <v>0</v>
      </c>
      <c r="V471" s="306">
        <f t="shared" ca="1" si="206"/>
        <v>1.1546910071328416</v>
      </c>
      <c r="W471" s="304">
        <f t="shared" ca="1" si="207"/>
        <v>39.366060196211642</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4.8440281459808618</v>
      </c>
      <c r="AH471" s="304">
        <f t="shared" ca="1" si="231"/>
        <v>-4.8400568543680462</v>
      </c>
    </row>
    <row r="472" spans="1:34" x14ac:dyDescent="0.3">
      <c r="A472" s="347">
        <f t="shared" ca="1" si="209"/>
        <v>0.1</v>
      </c>
      <c r="B472" s="304">
        <f t="shared" ca="1" si="210"/>
        <v>28.800000000000143</v>
      </c>
      <c r="D472" s="306">
        <f t="shared" ca="1" si="211"/>
        <v>-0.77377175281833144</v>
      </c>
      <c r="E472" s="307">
        <f t="shared" ca="1" si="212"/>
        <v>-4.9814108887645814</v>
      </c>
      <c r="F472" s="304">
        <f t="shared" ca="1" si="213"/>
        <v>5.0411483977524298</v>
      </c>
      <c r="G472" s="306">
        <f t="shared" ca="1" si="214"/>
        <v>16.496485670507617</v>
      </c>
      <c r="H472" s="307">
        <f t="shared" ca="1" si="215"/>
        <v>-103.92447240272776</v>
      </c>
      <c r="I472" s="304">
        <f t="shared" ca="1" si="216"/>
        <v>105.22561476970608</v>
      </c>
      <c r="J472" s="306">
        <f t="shared" ca="1" si="217"/>
        <v>706.52803875010602</v>
      </c>
      <c r="K472" s="307">
        <f t="shared" ca="1" si="218"/>
        <v>580.54104968080151</v>
      </c>
      <c r="L472" s="304">
        <f t="shared" ca="1" si="203"/>
        <v>914.44506664127073</v>
      </c>
      <c r="M472" s="306">
        <f t="shared" ca="1" si="219"/>
        <v>-1.4133744075587704</v>
      </c>
      <c r="N472" s="304">
        <f t="shared" ca="1" si="220"/>
        <v>-80.980388424920662</v>
      </c>
      <c r="P472" s="310">
        <f t="shared" ca="1" si="221"/>
        <v>23</v>
      </c>
      <c r="Q472" s="304">
        <f t="shared" ca="1" si="222"/>
        <v>0</v>
      </c>
      <c r="R472" s="306">
        <f t="shared" ca="1" si="223"/>
        <v>0</v>
      </c>
      <c r="S472" s="307">
        <f t="shared" ca="1" si="224"/>
        <v>8.0499999999999989</v>
      </c>
      <c r="T472" s="304">
        <f t="shared" ca="1" si="204"/>
        <v>78.970499999999987</v>
      </c>
      <c r="U472" s="311">
        <f t="shared" ca="1" si="205"/>
        <v>0</v>
      </c>
      <c r="V472" s="306">
        <f t="shared" ca="1" si="206"/>
        <v>1.1558897871885629</v>
      </c>
      <c r="W472" s="304">
        <f t="shared" ca="1" si="207"/>
        <v>39.768724001584665</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4.7962237380729809</v>
      </c>
      <c r="AH472" s="304">
        <f t="shared" ca="1" si="231"/>
        <v>-4.890193813193993</v>
      </c>
    </row>
    <row r="473" spans="1:34" x14ac:dyDescent="0.3">
      <c r="A473" s="347">
        <f t="shared" ca="1" si="209"/>
        <v>0.1</v>
      </c>
      <c r="B473" s="304">
        <f t="shared" ca="1" si="210"/>
        <v>28.900000000000144</v>
      </c>
      <c r="D473" s="306">
        <f t="shared" ca="1" si="211"/>
        <v>-0.77448986452469359</v>
      </c>
      <c r="E473" s="307">
        <f t="shared" ca="1" si="212"/>
        <v>-4.9308728841024649</v>
      </c>
      <c r="F473" s="304">
        <f t="shared" ca="1" si="213"/>
        <v>4.9913266722814722</v>
      </c>
      <c r="G473" s="306">
        <f t="shared" ca="1" si="214"/>
        <v>16.419036684055147</v>
      </c>
      <c r="H473" s="307">
        <f t="shared" ca="1" si="215"/>
        <v>-104.41755969113801</v>
      </c>
      <c r="I473" s="304">
        <f t="shared" ca="1" si="216"/>
        <v>105.70057491558275</v>
      </c>
      <c r="J473" s="306">
        <f t="shared" ca="1" si="217"/>
        <v>708.17381486783415</v>
      </c>
      <c r="K473" s="307">
        <f t="shared" ca="1" si="218"/>
        <v>570.12394807610826</v>
      </c>
      <c r="L473" s="304">
        <f t="shared" ca="1" si="203"/>
        <v>909.14876023363217</v>
      </c>
      <c r="M473" s="306">
        <f t="shared" ca="1" si="219"/>
        <v>-1.4148294034720821</v>
      </c>
      <c r="N473" s="304">
        <f t="shared" ca="1" si="220"/>
        <v>-81.0637535499622</v>
      </c>
      <c r="P473" s="310">
        <f t="shared" ca="1" si="221"/>
        <v>23</v>
      </c>
      <c r="Q473" s="304">
        <f t="shared" ca="1" si="222"/>
        <v>0</v>
      </c>
      <c r="R473" s="306">
        <f t="shared" ca="1" si="223"/>
        <v>0</v>
      </c>
      <c r="S473" s="307">
        <f t="shared" ca="1" si="224"/>
        <v>8.0499999999999989</v>
      </c>
      <c r="T473" s="304">
        <f t="shared" ca="1" si="204"/>
        <v>78.970499999999987</v>
      </c>
      <c r="U473" s="311">
        <f t="shared" ca="1" si="205"/>
        <v>0</v>
      </c>
      <c r="V473" s="306">
        <f t="shared" ca="1" si="206"/>
        <v>1.1570955150142834</v>
      </c>
      <c r="W473" s="304">
        <f t="shared" ca="1" si="207"/>
        <v>40.170403656510985</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4.7484826114508971</v>
      </c>
      <c r="AH473" s="304">
        <f t="shared" ca="1" si="231"/>
        <v>-4.9402141616875364</v>
      </c>
    </row>
    <row r="474" spans="1:34" x14ac:dyDescent="0.3">
      <c r="A474" s="347">
        <f t="shared" ca="1" si="209"/>
        <v>0.1</v>
      </c>
      <c r="B474" s="304">
        <f t="shared" ca="1" si="210"/>
        <v>29.000000000000146</v>
      </c>
      <c r="D474" s="306">
        <f t="shared" ca="1" si="211"/>
        <v>-0.77514087549196853</v>
      </c>
      <c r="E474" s="307">
        <f t="shared" ca="1" si="212"/>
        <v>-4.8804587490005193</v>
      </c>
      <c r="F474" s="304">
        <f t="shared" ca="1" si="213"/>
        <v>4.941631408508143</v>
      </c>
      <c r="G474" s="306">
        <f t="shared" ca="1" si="214"/>
        <v>16.34152259650595</v>
      </c>
      <c r="H474" s="307">
        <f t="shared" ca="1" si="215"/>
        <v>-104.90560556603806</v>
      </c>
      <c r="I474" s="304">
        <f t="shared" ca="1" si="216"/>
        <v>106.17076546747353</v>
      </c>
      <c r="J474" s="306">
        <f t="shared" ca="1" si="217"/>
        <v>709.81184283186224</v>
      </c>
      <c r="K474" s="307">
        <f t="shared" ca="1" si="218"/>
        <v>559.65778981324945</v>
      </c>
      <c r="L474" s="304">
        <f t="shared" ca="1" si="203"/>
        <v>903.90801187013255</v>
      </c>
      <c r="M474" s="306">
        <f t="shared" ca="1" si="219"/>
        <v>-1.416264676526819</v>
      </c>
      <c r="N474" s="304">
        <f t="shared" ca="1" si="220"/>
        <v>-81.145988638447477</v>
      </c>
      <c r="P474" s="310">
        <f t="shared" ca="1" si="221"/>
        <v>23</v>
      </c>
      <c r="Q474" s="304">
        <f t="shared" ca="1" si="222"/>
        <v>0</v>
      </c>
      <c r="R474" s="306">
        <f t="shared" ca="1" si="223"/>
        <v>0</v>
      </c>
      <c r="S474" s="307">
        <f t="shared" ca="1" si="224"/>
        <v>8.0499999999999989</v>
      </c>
      <c r="T474" s="304">
        <f t="shared" ca="1" si="204"/>
        <v>78.970499999999987</v>
      </c>
      <c r="U474" s="311">
        <f t="shared" ca="1" si="205"/>
        <v>0</v>
      </c>
      <c r="V474" s="306">
        <f t="shared" ca="1" si="206"/>
        <v>1.1583081513778002</v>
      </c>
      <c r="W474" s="304">
        <f t="shared" ca="1" si="207"/>
        <v>40.571054547635441</v>
      </c>
      <c r="Y474" s="314" t="str">
        <f t="shared" ca="1" si="225"/>
        <v/>
      </c>
      <c r="Z474" s="315" t="str">
        <f t="shared" ca="1" si="226"/>
        <v/>
      </c>
      <c r="AA474" s="316" t="str">
        <f t="shared" ca="1" si="227"/>
        <v/>
      </c>
      <c r="AC474" s="310">
        <f t="shared" ca="1" si="228"/>
        <v>29.000000000000146</v>
      </c>
      <c r="AD474" s="323">
        <f t="shared" ca="1" si="229"/>
        <v>709.81184283186224</v>
      </c>
      <c r="AE474" s="324" t="e">
        <f t="shared" ca="1" si="208"/>
        <v>#N/A</v>
      </c>
      <c r="AG474" s="306">
        <f t="shared" ca="1" si="230"/>
        <v>4.7008119555708641</v>
      </c>
      <c r="AH474" s="304">
        <f t="shared" ca="1" si="231"/>
        <v>-4.9901122554672037</v>
      </c>
    </row>
    <row r="475" spans="1:34" x14ac:dyDescent="0.3">
      <c r="A475" s="347">
        <f t="shared" ca="1" si="209"/>
        <v>0.1</v>
      </c>
      <c r="B475" s="304">
        <f t="shared" ca="1" si="210"/>
        <v>29.100000000000147</v>
      </c>
      <c r="D475" s="306">
        <f t="shared" ca="1" si="211"/>
        <v>-0.77572535389384245</v>
      </c>
      <c r="E475" s="307">
        <f t="shared" ca="1" si="212"/>
        <v>-4.8301740674664879</v>
      </c>
      <c r="F475" s="304">
        <f t="shared" ca="1" si="213"/>
        <v>4.892068207486429</v>
      </c>
      <c r="G475" s="306">
        <f t="shared" ca="1" si="214"/>
        <v>16.263950061116567</v>
      </c>
      <c r="H475" s="307">
        <f t="shared" ca="1" si="215"/>
        <v>-105.38862297278472</v>
      </c>
      <c r="I475" s="304">
        <f t="shared" ca="1" si="216"/>
        <v>106.63619424796751</v>
      </c>
      <c r="J475" s="306">
        <f t="shared" ca="1" si="217"/>
        <v>711.44211646474332</v>
      </c>
      <c r="K475" s="307">
        <f t="shared" ca="1" si="218"/>
        <v>549.14307838630828</v>
      </c>
      <c r="L475" s="304">
        <f t="shared" ca="1" si="203"/>
        <v>898.72576775088885</v>
      </c>
      <c r="M475" s="306">
        <f t="shared" ca="1" si="219"/>
        <v>-1.4176806401155408</v>
      </c>
      <c r="N475" s="304">
        <f t="shared" ca="1" si="220"/>
        <v>-81.227117376025433</v>
      </c>
      <c r="P475" s="310">
        <f t="shared" ca="1" si="221"/>
        <v>23</v>
      </c>
      <c r="Q475" s="304">
        <f t="shared" ca="1" si="222"/>
        <v>0</v>
      </c>
      <c r="R475" s="306">
        <f t="shared" ca="1" si="223"/>
        <v>0</v>
      </c>
      <c r="S475" s="307">
        <f t="shared" ca="1" si="224"/>
        <v>8.0499999999999989</v>
      </c>
      <c r="T475" s="304">
        <f t="shared" ca="1" si="204"/>
        <v>78.970499999999987</v>
      </c>
      <c r="U475" s="311">
        <f t="shared" ca="1" si="205"/>
        <v>0</v>
      </c>
      <c r="V475" s="306">
        <f t="shared" ca="1" si="206"/>
        <v>1.1595276570942976</v>
      </c>
      <c r="W475" s="304">
        <f t="shared" ca="1" si="207"/>
        <v>40.970632887477372</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4.6532188023920673</v>
      </c>
      <c r="AH475" s="304">
        <f t="shared" ca="1" si="231"/>
        <v>-5.0398825525012976</v>
      </c>
    </row>
    <row r="476" spans="1:34" x14ac:dyDescent="0.3">
      <c r="A476" s="347">
        <f t="shared" ca="1" si="209"/>
        <v>0.1</v>
      </c>
      <c r="B476" s="304">
        <f t="shared" ca="1" si="210"/>
        <v>29.200000000000149</v>
      </c>
      <c r="D476" s="306">
        <f t="shared" ca="1" si="211"/>
        <v>-0.77624387676602913</v>
      </c>
      <c r="E476" s="307">
        <f t="shared" ca="1" si="212"/>
        <v>-4.7800243202903987</v>
      </c>
      <c r="F476" s="304">
        <f t="shared" ca="1" si="213"/>
        <v>4.8426425697943518</v>
      </c>
      <c r="G476" s="306">
        <f t="shared" ca="1" si="214"/>
        <v>16.186325673439963</v>
      </c>
      <c r="H476" s="307">
        <f t="shared" ca="1" si="215"/>
        <v>-105.86662540481376</v>
      </c>
      <c r="I476" s="304">
        <f t="shared" ca="1" si="216"/>
        <v>107.09686976475933</v>
      </c>
      <c r="J476" s="306">
        <f t="shared" ca="1" si="217"/>
        <v>713.06463025147116</v>
      </c>
      <c r="K476" s="307">
        <f t="shared" ca="1" si="218"/>
        <v>538.58031596742831</v>
      </c>
      <c r="L476" s="304">
        <f t="shared" ca="1" si="203"/>
        <v>893.60501546446244</v>
      </c>
      <c r="M476" s="306">
        <f t="shared" ca="1" si="219"/>
        <v>-1.4190776959592122</v>
      </c>
      <c r="N476" s="304">
        <f t="shared" ca="1" si="220"/>
        <v>-81.3071627796119</v>
      </c>
      <c r="P476" s="310">
        <f t="shared" ca="1" si="221"/>
        <v>23</v>
      </c>
      <c r="Q476" s="304">
        <f t="shared" ca="1" si="222"/>
        <v>0</v>
      </c>
      <c r="R476" s="306">
        <f t="shared" ca="1" si="223"/>
        <v>0</v>
      </c>
      <c r="S476" s="307">
        <f t="shared" ca="1" si="224"/>
        <v>8.0499999999999989</v>
      </c>
      <c r="T476" s="304">
        <f t="shared" ca="1" si="204"/>
        <v>78.970499999999987</v>
      </c>
      <c r="U476" s="311">
        <f t="shared" ca="1" si="205"/>
        <v>0</v>
      </c>
      <c r="V476" s="306">
        <f t="shared" ca="1" si="206"/>
        <v>1.1607539930306499</v>
      </c>
      <c r="W476" s="304">
        <f t="shared" ca="1" si="207"/>
        <v>41.369095715989502</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4.6057100284617221</v>
      </c>
      <c r="AH476" s="304">
        <f t="shared" ca="1" si="231"/>
        <v>-5.0895196133512268</v>
      </c>
    </row>
    <row r="477" spans="1:34" x14ac:dyDescent="0.3">
      <c r="A477" s="347">
        <f t="shared" ca="1" si="209"/>
        <v>0.1</v>
      </c>
      <c r="B477" s="304">
        <f t="shared" ca="1" si="210"/>
        <v>29.30000000000015</v>
      </c>
      <c r="D477" s="306">
        <f t="shared" ca="1" si="211"/>
        <v>-0.77669702964344522</v>
      </c>
      <c r="E477" s="307">
        <f t="shared" ca="1" si="212"/>
        <v>-4.730014884834624</v>
      </c>
      <c r="F477" s="304">
        <f t="shared" ca="1" si="213"/>
        <v>4.7933598953775682</v>
      </c>
      <c r="G477" s="306">
        <f t="shared" ca="1" si="214"/>
        <v>16.10865597047562</v>
      </c>
      <c r="H477" s="307">
        <f t="shared" ca="1" si="215"/>
        <v>-106.33962689329722</v>
      </c>
      <c r="I477" s="304">
        <f t="shared" ca="1" si="216"/>
        <v>107.55280119541658</v>
      </c>
      <c r="J477" s="306">
        <f t="shared" ca="1" si="217"/>
        <v>714.67937933366693</v>
      </c>
      <c r="K477" s="307">
        <f t="shared" ca="1" si="218"/>
        <v>527.97000335252278</v>
      </c>
      <c r="L477" s="304">
        <f t="shared" ca="1" si="203"/>
        <v>888.54878295162746</v>
      </c>
      <c r="M477" s="306">
        <f t="shared" ca="1" si="219"/>
        <v>-1.4204562345104286</v>
      </c>
      <c r="N477" s="304">
        <f t="shared" ca="1" si="220"/>
        <v>-81.386147220492674</v>
      </c>
      <c r="P477" s="310">
        <f t="shared" ca="1" si="221"/>
        <v>23</v>
      </c>
      <c r="Q477" s="304">
        <f t="shared" ca="1" si="222"/>
        <v>0</v>
      </c>
      <c r="R477" s="306">
        <f t="shared" ca="1" si="223"/>
        <v>0</v>
      </c>
      <c r="S477" s="307">
        <f t="shared" ca="1" si="224"/>
        <v>8.0499999999999989</v>
      </c>
      <c r="T477" s="304">
        <f t="shared" ca="1" si="204"/>
        <v>78.970499999999987</v>
      </c>
      <c r="U477" s="311">
        <f t="shared" ca="1" si="205"/>
        <v>0</v>
      </c>
      <c r="V477" s="306">
        <f t="shared" ca="1" si="206"/>
        <v>1.1619871201096637</v>
      </c>
      <c r="W477" s="304">
        <f t="shared" ca="1" si="207"/>
        <v>41.766400901724133</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4.5582923569369846</v>
      </c>
      <c r="AH477" s="304">
        <f t="shared" ca="1" si="231"/>
        <v>-5.1390181013651564</v>
      </c>
    </row>
    <row r="478" spans="1:34" x14ac:dyDescent="0.3">
      <c r="A478" s="347">
        <f t="shared" ca="1" si="209"/>
        <v>0.1</v>
      </c>
      <c r="B478" s="304">
        <f t="shared" ca="1" si="210"/>
        <v>29.400000000000151</v>
      </c>
      <c r="D478" s="306">
        <f t="shared" ca="1" si="211"/>
        <v>-0.77708540620171762</v>
      </c>
      <c r="E478" s="307">
        <f t="shared" ca="1" si="212"/>
        <v>-4.6801510348738837</v>
      </c>
      <c r="F478" s="304">
        <f t="shared" ca="1" si="213"/>
        <v>4.7442254834443496</v>
      </c>
      <c r="G478" s="306">
        <f t="shared" ca="1" si="214"/>
        <v>16.030947429855448</v>
      </c>
      <c r="H478" s="307">
        <f t="shared" ca="1" si="215"/>
        <v>-106.80764199678461</v>
      </c>
      <c r="I478" s="304">
        <f t="shared" ca="1" si="216"/>
        <v>108.0039983723385</v>
      </c>
      <c r="J478" s="306">
        <f t="shared" ca="1" si="217"/>
        <v>716.28635950368346</v>
      </c>
      <c r="K478" s="307">
        <f t="shared" ca="1" si="218"/>
        <v>517.3126399080187</v>
      </c>
      <c r="L478" s="304">
        <f t="shared" ca="1" si="203"/>
        <v>883.56013729663209</v>
      </c>
      <c r="M478" s="306">
        <f t="shared" ca="1" si="219"/>
        <v>-1.4218166353402706</v>
      </c>
      <c r="N478" s="304">
        <f t="shared" ca="1" si="220"/>
        <v>-81.464092446488721</v>
      </c>
      <c r="P478" s="310">
        <f t="shared" ca="1" si="221"/>
        <v>23</v>
      </c>
      <c r="Q478" s="304">
        <f t="shared" ca="1" si="222"/>
        <v>0</v>
      </c>
      <c r="R478" s="306">
        <f t="shared" ca="1" si="223"/>
        <v>0</v>
      </c>
      <c r="S478" s="307">
        <f t="shared" ca="1" si="224"/>
        <v>8.0499999999999989</v>
      </c>
      <c r="T478" s="304">
        <f t="shared" ca="1" si="204"/>
        <v>78.970499999999987</v>
      </c>
      <c r="U478" s="311">
        <f t="shared" ca="1" si="205"/>
        <v>0</v>
      </c>
      <c r="V478" s="306">
        <f t="shared" ca="1" si="206"/>
        <v>1.1632269993142572</v>
      </c>
      <c r="W478" s="304">
        <f t="shared" ca="1" si="207"/>
        <v>42.162507142613336</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4.5109723595489442</v>
      </c>
      <c r="AH478" s="304">
        <f t="shared" ca="1" si="231"/>
        <v>-5.1883727828228743</v>
      </c>
    </row>
    <row r="479" spans="1:34" x14ac:dyDescent="0.3">
      <c r="A479" s="347">
        <f t="shared" ca="1" si="209"/>
        <v>0.1</v>
      </c>
      <c r="B479" s="304">
        <f t="shared" ca="1" si="210"/>
        <v>29.500000000000153</v>
      </c>
      <c r="D479" s="306">
        <f t="shared" ca="1" si="211"/>
        <v>-0.77740960790304847</v>
      </c>
      <c r="E479" s="307">
        <f t="shared" ca="1" si="212"/>
        <v>-4.6304379404843319</v>
      </c>
      <c r="F479" s="304">
        <f t="shared" ca="1" si="213"/>
        <v>4.6952445324111451</v>
      </c>
      <c r="G479" s="306">
        <f t="shared" ca="1" si="214"/>
        <v>15.953206469065144</v>
      </c>
      <c r="H479" s="307">
        <f t="shared" ca="1" si="215"/>
        <v>-107.27068579083304</v>
      </c>
      <c r="I479" s="304">
        <f t="shared" ca="1" si="216"/>
        <v>108.45047176790081</v>
      </c>
      <c r="J479" s="306">
        <f t="shared" ca="1" si="217"/>
        <v>717.88556719862947</v>
      </c>
      <c r="K479" s="307">
        <f t="shared" ca="1" si="218"/>
        <v>506.60872351863782</v>
      </c>
      <c r="L479" s="304">
        <f t="shared" ca="1" si="203"/>
        <v>878.64218333590247</v>
      </c>
      <c r="M479" s="306">
        <f t="shared" ca="1" si="219"/>
        <v>-1.423159267509545</v>
      </c>
      <c r="N479" s="304">
        <f t="shared" ca="1" si="220"/>
        <v>-81.54101960322663</v>
      </c>
      <c r="P479" s="310">
        <f t="shared" ca="1" si="221"/>
        <v>23</v>
      </c>
      <c r="Q479" s="304">
        <f t="shared" ca="1" si="222"/>
        <v>0</v>
      </c>
      <c r="R479" s="306">
        <f t="shared" ca="1" si="223"/>
        <v>0</v>
      </c>
      <c r="S479" s="307">
        <f t="shared" ca="1" si="224"/>
        <v>8.0499999999999989</v>
      </c>
      <c r="T479" s="304">
        <f t="shared" ca="1" si="204"/>
        <v>78.970499999999987</v>
      </c>
      <c r="U479" s="311">
        <f t="shared" ca="1" si="205"/>
        <v>0</v>
      </c>
      <c r="V479" s="306">
        <f t="shared" ca="1" si="206"/>
        <v>1.1644735916915816</v>
      </c>
      <c r="W479" s="304">
        <f t="shared" ca="1" si="207"/>
        <v>42.557373966370044</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4.4637564585136218</v>
      </c>
      <c r="AH479" s="304">
        <f t="shared" ca="1" si="231"/>
        <v>-5.2375785270327135</v>
      </c>
    </row>
    <row r="480" spans="1:34" x14ac:dyDescent="0.3">
      <c r="A480" s="347">
        <f t="shared" ca="1" si="209"/>
        <v>0.1</v>
      </c>
      <c r="B480" s="304">
        <f t="shared" ca="1" si="210"/>
        <v>29.600000000000154</v>
      </c>
      <c r="D480" s="306">
        <f t="shared" ca="1" si="211"/>
        <v>-0.77767024364648007</v>
      </c>
      <c r="E480" s="307">
        <f t="shared" ca="1" si="212"/>
        <v>-4.5808806679808098</v>
      </c>
      <c r="F480" s="304">
        <f t="shared" ca="1" si="213"/>
        <v>4.6464221398979113</v>
      </c>
      <c r="G480" s="306">
        <f t="shared" ca="1" si="214"/>
        <v>15.875439444700495</v>
      </c>
      <c r="H480" s="307">
        <f t="shared" ca="1" si="215"/>
        <v>-107.72877385763113</v>
      </c>
      <c r="I480" s="304">
        <f t="shared" ca="1" si="216"/>
        <v>108.89223247978241</v>
      </c>
      <c r="J480" s="306">
        <f t="shared" ca="1" si="217"/>
        <v>719.47699949431774</v>
      </c>
      <c r="K480" s="307">
        <f t="shared" ca="1" si="218"/>
        <v>495.85875053621459</v>
      </c>
      <c r="L480" s="304">
        <f t="shared" ca="1" si="203"/>
        <v>873.79806207423144</v>
      </c>
      <c r="M480" s="306">
        <f t="shared" ca="1" si="219"/>
        <v>-1.4244844899251357</v>
      </c>
      <c r="N480" s="304">
        <f t="shared" ca="1" si="220"/>
        <v>-81.616949254556104</v>
      </c>
      <c r="P480" s="310">
        <f t="shared" ca="1" si="221"/>
        <v>23</v>
      </c>
      <c r="Q480" s="304">
        <f t="shared" ca="1" si="222"/>
        <v>0</v>
      </c>
      <c r="R480" s="306">
        <f t="shared" ca="1" si="223"/>
        <v>0</v>
      </c>
      <c r="S480" s="307">
        <f t="shared" ca="1" si="224"/>
        <v>8.0499999999999989</v>
      </c>
      <c r="T480" s="304">
        <f t="shared" ca="1" si="204"/>
        <v>78.970499999999987</v>
      </c>
      <c r="U480" s="311">
        <f t="shared" ca="1" si="205"/>
        <v>0</v>
      </c>
      <c r="V480" s="306">
        <f t="shared" ca="1" si="206"/>
        <v>1.1657268583570843</v>
      </c>
      <c r="W480" s="304">
        <f t="shared" ca="1" si="207"/>
        <v>42.950961730518031</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4.4166509283945885</v>
      </c>
      <c r="AH480" s="304">
        <f t="shared" ca="1" si="231"/>
        <v>-5.2866303063813724</v>
      </c>
    </row>
    <row r="481" spans="1:34" x14ac:dyDescent="0.3">
      <c r="A481" s="347">
        <f t="shared" ca="1" si="209"/>
        <v>0.1</v>
      </c>
      <c r="B481" s="304">
        <f t="shared" ca="1" si="210"/>
        <v>29.700000000000156</v>
      </c>
      <c r="D481" s="306">
        <f t="shared" ca="1" si="211"/>
        <v>-0.77786792942260352</v>
      </c>
      <c r="E481" s="307">
        <f t="shared" ca="1" si="212"/>
        <v>-4.5314841799012422</v>
      </c>
      <c r="F481" s="304">
        <f t="shared" ca="1" si="213"/>
        <v>4.5977633027722771</v>
      </c>
      <c r="G481" s="306">
        <f t="shared" ca="1" si="214"/>
        <v>15.797652651758234</v>
      </c>
      <c r="H481" s="307">
        <f t="shared" ca="1" si="215"/>
        <v>-108.18192227562125</v>
      </c>
      <c r="I481" s="304">
        <f t="shared" ca="1" si="216"/>
        <v>109.32929221646943</v>
      </c>
      <c r="J481" s="306">
        <f t="shared" ca="1" si="217"/>
        <v>721.06065409914072</v>
      </c>
      <c r="K481" s="307">
        <f t="shared" ca="1" si="218"/>
        <v>485.06321572955198</v>
      </c>
      <c r="L481" s="304">
        <f t="shared" ca="1" si="203"/>
        <v>869.03094889869976</v>
      </c>
      <c r="M481" s="306">
        <f t="shared" ca="1" si="219"/>
        <v>-1.4257926516821477</v>
      </c>
      <c r="N481" s="304">
        <f t="shared" ca="1" si="220"/>
        <v>-81.69190140215332</v>
      </c>
      <c r="P481" s="310">
        <f t="shared" ca="1" si="221"/>
        <v>23</v>
      </c>
      <c r="Q481" s="304">
        <f t="shared" ca="1" si="222"/>
        <v>0</v>
      </c>
      <c r="R481" s="306">
        <f t="shared" ca="1" si="223"/>
        <v>0</v>
      </c>
      <c r="S481" s="307">
        <f t="shared" ca="1" si="224"/>
        <v>8.0499999999999989</v>
      </c>
      <c r="T481" s="304">
        <f t="shared" ca="1" si="204"/>
        <v>78.970499999999987</v>
      </c>
      <c r="U481" s="311">
        <f t="shared" ca="1" si="205"/>
        <v>0</v>
      </c>
      <c r="V481" s="306">
        <f t="shared" ca="1" si="206"/>
        <v>1.1669867604985042</v>
      </c>
      <c r="W481" s="304">
        <f t="shared" ca="1" si="207"/>
        <v>43.343231622056969</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4.3696618979212767</v>
      </c>
      <c r="AH481" s="304">
        <f t="shared" ca="1" si="231"/>
        <v>-5.3355231963376442</v>
      </c>
    </row>
    <row r="482" spans="1:34" x14ac:dyDescent="0.3">
      <c r="A482" s="347">
        <f t="shared" ca="1" si="209"/>
        <v>0.1</v>
      </c>
      <c r="B482" s="304">
        <f t="shared" ca="1" si="210"/>
        <v>29.800000000000157</v>
      </c>
      <c r="D482" s="306">
        <f t="shared" ca="1" si="211"/>
        <v>-0.77800328797272567</v>
      </c>
      <c r="E482" s="307">
        <f t="shared" ca="1" si="212"/>
        <v>-4.4822533350373615</v>
      </c>
      <c r="F482" s="304">
        <f t="shared" ca="1" si="213"/>
        <v>4.5492729172418223</v>
      </c>
      <c r="G482" s="306">
        <f t="shared" ca="1" si="214"/>
        <v>15.719852322960962</v>
      </c>
      <c r="H482" s="307">
        <f t="shared" ca="1" si="215"/>
        <v>-108.63014760912499</v>
      </c>
      <c r="I482" s="304">
        <f t="shared" ca="1" si="216"/>
        <v>109.7616632829331</v>
      </c>
      <c r="J482" s="306">
        <f t="shared" ca="1" si="217"/>
        <v>722.63652934787672</v>
      </c>
      <c r="K482" s="307">
        <f t="shared" ca="1" si="218"/>
        <v>474.22261223531467</v>
      </c>
      <c r="L482" s="304">
        <f t="shared" ca="1" si="203"/>
        <v>864.34405158086804</v>
      </c>
      <c r="M482" s="306">
        <f t="shared" ca="1" si="219"/>
        <v>-1.4270840923924939</v>
      </c>
      <c r="N482" s="304">
        <f t="shared" ca="1" si="220"/>
        <v>-81.765895504347526</v>
      </c>
      <c r="P482" s="310">
        <f t="shared" ca="1" si="221"/>
        <v>23</v>
      </c>
      <c r="Q482" s="304">
        <f t="shared" ca="1" si="222"/>
        <v>0</v>
      </c>
      <c r="R482" s="306">
        <f t="shared" ca="1" si="223"/>
        <v>0</v>
      </c>
      <c r="S482" s="307">
        <f t="shared" ca="1" si="224"/>
        <v>8.0499999999999989</v>
      </c>
      <c r="T482" s="304">
        <f t="shared" ca="1" si="204"/>
        <v>78.970499999999987</v>
      </c>
      <c r="U482" s="311">
        <f t="shared" ca="1" si="205"/>
        <v>0</v>
      </c>
      <c r="V482" s="306">
        <f t="shared" ca="1" si="206"/>
        <v>1.1682532593798116</v>
      </c>
      <c r="W482" s="304">
        <f t="shared" ca="1" si="207"/>
        <v>43.734145656771091</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4.3227953517670628</v>
      </c>
      <c r="AH482" s="304">
        <f t="shared" ca="1" si="231"/>
        <v>-5.3842523754108047</v>
      </c>
    </row>
    <row r="483" spans="1:34" x14ac:dyDescent="0.3">
      <c r="A483" s="347">
        <f t="shared" ca="1" si="209"/>
        <v>0.1</v>
      </c>
      <c r="B483" s="304">
        <f t="shared" ca="1" si="210"/>
        <v>29.900000000000158</v>
      </c>
      <c r="D483" s="306">
        <f t="shared" ca="1" si="211"/>
        <v>-0.77807694845255715</v>
      </c>
      <c r="E483" s="307">
        <f t="shared" ca="1" si="212"/>
        <v>-4.4331928885106562</v>
      </c>
      <c r="F483" s="304">
        <f t="shared" ca="1" si="213"/>
        <v>4.5009557789934682</v>
      </c>
      <c r="G483" s="306">
        <f t="shared" ca="1" si="214"/>
        <v>15.642044628115707</v>
      </c>
      <c r="H483" s="307">
        <f t="shared" ca="1" si="215"/>
        <v>-109.07346689797606</v>
      </c>
      <c r="I483" s="304">
        <f t="shared" ca="1" si="216"/>
        <v>110.18935856647794</v>
      </c>
      <c r="J483" s="306">
        <f t="shared" ca="1" si="217"/>
        <v>724.2046241954306</v>
      </c>
      <c r="K483" s="307">
        <f t="shared" ca="1" si="218"/>
        <v>463.33743150995963</v>
      </c>
      <c r="L483" s="304">
        <f t="shared" ca="1" si="203"/>
        <v>859.74060805820454</v>
      </c>
      <c r="M483" s="306">
        <f t="shared" ca="1" si="219"/>
        <v>-1.4283591425005373</v>
      </c>
      <c r="N483" s="304">
        <f t="shared" ca="1" si="220"/>
        <v>-81.838950494206117</v>
      </c>
      <c r="P483" s="310">
        <f t="shared" ca="1" si="221"/>
        <v>23</v>
      </c>
      <c r="Q483" s="304">
        <f t="shared" ca="1" si="222"/>
        <v>0</v>
      </c>
      <c r="R483" s="306">
        <f t="shared" ca="1" si="223"/>
        <v>0</v>
      </c>
      <c r="S483" s="307">
        <f t="shared" ca="1" si="224"/>
        <v>8.0499999999999989</v>
      </c>
      <c r="T483" s="304">
        <f t="shared" ca="1" si="204"/>
        <v>78.970499999999987</v>
      </c>
      <c r="U483" s="311">
        <f t="shared" ca="1" si="205"/>
        <v>0</v>
      </c>
      <c r="V483" s="306">
        <f t="shared" ca="1" si="206"/>
        <v>1.1695263163450831</v>
      </c>
      <c r="W483" s="304">
        <f t="shared" ca="1" si="207"/>
        <v>44.123666678188307</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4.2760571322905632</v>
      </c>
      <c r="AH483" s="304">
        <f t="shared" ca="1" si="231"/>
        <v>-5.4328131250647322</v>
      </c>
    </row>
    <row r="484" spans="1:34" x14ac:dyDescent="0.3">
      <c r="A484" s="347">
        <f t="shared" ca="1" si="209"/>
        <v>0.1</v>
      </c>
      <c r="B484" s="304">
        <f t="shared" ca="1" si="210"/>
        <v>30.00000000000016</v>
      </c>
      <c r="D484" s="306">
        <f t="shared" ca="1" si="211"/>
        <v>-0.77808954610044356</v>
      </c>
      <c r="E484" s="307">
        <f t="shared" ca="1" si="212"/>
        <v>-4.3843074918926641</v>
      </c>
      <c r="F484" s="304">
        <f t="shared" ca="1" si="213"/>
        <v>4.4528165833792137</v>
      </c>
      <c r="G484" s="306">
        <f t="shared" ca="1" si="214"/>
        <v>15.564235673505664</v>
      </c>
      <c r="H484" s="307">
        <f t="shared" ca="1" si="215"/>
        <v>-109.51189764716533</v>
      </c>
      <c r="I484" s="304">
        <f t="shared" ca="1" si="216"/>
        <v>110.61239152275679</v>
      </c>
      <c r="J484" s="306">
        <f t="shared" ca="1" si="217"/>
        <v>725.76493821051167</v>
      </c>
      <c r="K484" s="307">
        <f t="shared" ca="1" si="218"/>
        <v>452.40816328270256</v>
      </c>
      <c r="L484" s="304">
        <f t="shared" ca="1" si="203"/>
        <v>855.2238839862556</v>
      </c>
      <c r="M484" s="306">
        <f t="shared" ca="1" si="219"/>
        <v>-1.4296181235863765</v>
      </c>
      <c r="N484" s="304">
        <f t="shared" ca="1" si="220"/>
        <v>-81.91108479691151</v>
      </c>
      <c r="P484" s="310">
        <f t="shared" ca="1" si="221"/>
        <v>23</v>
      </c>
      <c r="Q484" s="304">
        <f t="shared" ca="1" si="222"/>
        <v>0</v>
      </c>
      <c r="R484" s="306">
        <f t="shared" ca="1" si="223"/>
        <v>0</v>
      </c>
      <c r="S484" s="307">
        <f t="shared" ca="1" si="224"/>
        <v>8.0499999999999989</v>
      </c>
      <c r="T484" s="304">
        <f t="shared" ca="1" si="204"/>
        <v>78.970499999999987</v>
      </c>
      <c r="U484" s="311">
        <f t="shared" ca="1" si="205"/>
        <v>0</v>
      </c>
      <c r="V484" s="306">
        <f t="shared" ca="1" si="206"/>
        <v>1.1708058928223188</v>
      </c>
      <c r="W484" s="304">
        <f t="shared" ca="1" si="207"/>
        <v>44.511758356197689</v>
      </c>
      <c r="Y484" s="314" t="str">
        <f t="shared" ca="1" si="225"/>
        <v/>
      </c>
      <c r="Z484" s="315" t="str">
        <f t="shared" ca="1" si="226"/>
        <v/>
      </c>
      <c r="AA484" s="316" t="str">
        <f t="shared" ca="1" si="227"/>
        <v/>
      </c>
      <c r="AC484" s="310">
        <f t="shared" ca="1" si="228"/>
        <v>30.00000000000016</v>
      </c>
      <c r="AD484" s="323">
        <f t="shared" ca="1" si="229"/>
        <v>725.76493821051167</v>
      </c>
      <c r="AE484" s="324" t="e">
        <f t="shared" ca="1" si="208"/>
        <v>#N/A</v>
      </c>
      <c r="AG484" s="306">
        <f t="shared" ca="1" si="230"/>
        <v>4.229452941243542</v>
      </c>
      <c r="AH484" s="304">
        <f t="shared" ca="1" si="231"/>
        <v>-5.4812008295886105</v>
      </c>
    </row>
    <row r="485" spans="1:34" x14ac:dyDescent="0.3">
      <c r="A485" s="347">
        <f t="shared" ca="1" si="209"/>
        <v>0.1</v>
      </c>
      <c r="B485" s="304">
        <f t="shared" ca="1" si="210"/>
        <v>30.100000000000161</v>
      </c>
      <c r="D485" s="306">
        <f t="shared" ca="1" si="211"/>
        <v>-0.77804172191017817</v>
      </c>
      <c r="E485" s="307">
        <f t="shared" ca="1" si="212"/>
        <v>-4.335601693368587</v>
      </c>
      <c r="F485" s="304">
        <f t="shared" ca="1" si="213"/>
        <v>4.4048599256472976</v>
      </c>
      <c r="G485" s="306">
        <f t="shared" ca="1" si="214"/>
        <v>15.486431501314646</v>
      </c>
      <c r="H485" s="307">
        <f t="shared" ca="1" si="215"/>
        <v>-109.94545781650218</v>
      </c>
      <c r="I485" s="304">
        <f t="shared" ca="1" si="216"/>
        <v>111.03077616195057</v>
      </c>
      <c r="J485" s="306">
        <f t="shared" ca="1" si="217"/>
        <v>727.31747156925269</v>
      </c>
      <c r="K485" s="307">
        <f t="shared" ca="1" si="218"/>
        <v>441.43529550951916</v>
      </c>
      <c r="L485" s="304">
        <f t="shared" ca="1" si="203"/>
        <v>850.79717005374857</v>
      </c>
      <c r="M485" s="306">
        <f t="shared" ca="1" si="219"/>
        <v>-1.4308613486573281</v>
      </c>
      <c r="N485" s="304">
        <f t="shared" ca="1" si="220"/>
        <v>-81.982316346461886</v>
      </c>
      <c r="P485" s="310">
        <f t="shared" ca="1" si="221"/>
        <v>23</v>
      </c>
      <c r="Q485" s="304">
        <f t="shared" ca="1" si="222"/>
        <v>0</v>
      </c>
      <c r="R485" s="306">
        <f t="shared" ca="1" si="223"/>
        <v>0</v>
      </c>
      <c r="S485" s="307">
        <f t="shared" ca="1" si="224"/>
        <v>8.0499999999999989</v>
      </c>
      <c r="T485" s="304">
        <f t="shared" ca="1" si="204"/>
        <v>78.970499999999987</v>
      </c>
      <c r="U485" s="311">
        <f t="shared" ca="1" si="205"/>
        <v>0</v>
      </c>
      <c r="V485" s="306">
        <f t="shared" ca="1" si="206"/>
        <v>1.1720919503271912</v>
      </c>
      <c r="W485" s="304">
        <f t="shared" ca="1" si="207"/>
        <v>44.898385185332863</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4.1829883414484854</v>
      </c>
      <c r="AH485" s="304">
        <f t="shared" ca="1" si="231"/>
        <v>-5.5294109759251793</v>
      </c>
    </row>
    <row r="486" spans="1:34" x14ac:dyDescent="0.3">
      <c r="A486" s="347">
        <f t="shared" ca="1" si="209"/>
        <v>0.1</v>
      </c>
      <c r="B486" s="304">
        <f t="shared" ca="1" si="210"/>
        <v>30.200000000000163</v>
      </c>
      <c r="D486" s="306">
        <f t="shared" ca="1" si="211"/>
        <v>-0.77793412230842274</v>
      </c>
      <c r="E486" s="307">
        <f t="shared" ca="1" si="212"/>
        <v>-4.2870799379432514</v>
      </c>
      <c r="F486" s="304">
        <f t="shared" ca="1" si="213"/>
        <v>4.357090301217923</v>
      </c>
      <c r="G486" s="306">
        <f t="shared" ca="1" si="214"/>
        <v>15.408638089083803</v>
      </c>
      <c r="H486" s="307">
        <f t="shared" ca="1" si="215"/>
        <v>-110.3741658102965</v>
      </c>
      <c r="I486" s="304">
        <f t="shared" ca="1" si="216"/>
        <v>111.44452703510922</v>
      </c>
      <c r="J486" s="306">
        <f t="shared" ca="1" si="217"/>
        <v>728.86222504877264</v>
      </c>
      <c r="K486" s="307">
        <f t="shared" ca="1" si="218"/>
        <v>430.41931432817921</v>
      </c>
      <c r="L486" s="304">
        <f t="shared" ca="1" si="203"/>
        <v>846.4637790536508</v>
      </c>
      <c r="M486" s="306">
        <f t="shared" ca="1" si="219"/>
        <v>-1.4320891224281291</v>
      </c>
      <c r="N486" s="304">
        <f t="shared" ca="1" si="220"/>
        <v>-82.052662601725643</v>
      </c>
      <c r="P486" s="310">
        <f t="shared" ca="1" si="221"/>
        <v>23</v>
      </c>
      <c r="Q486" s="304">
        <f t="shared" ca="1" si="222"/>
        <v>0</v>
      </c>
      <c r="R486" s="306">
        <f t="shared" ca="1" si="223"/>
        <v>0</v>
      </c>
      <c r="S486" s="307">
        <f t="shared" ca="1" si="224"/>
        <v>8.0499999999999989</v>
      </c>
      <c r="T486" s="304">
        <f t="shared" ca="1" si="204"/>
        <v>78.970499999999987</v>
      </c>
      <c r="U486" s="311">
        <f t="shared" ca="1" si="205"/>
        <v>0</v>
      </c>
      <c r="V486" s="306">
        <f t="shared" ca="1" si="206"/>
        <v>1.1733844504667368</v>
      </c>
      <c r="W486" s="304">
        <f t="shared" ca="1" si="207"/>
        <v>45.283512482729122</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4.1366687584486641</v>
      </c>
      <c r="AH486" s="304">
        <f t="shared" ca="1" si="231"/>
        <v>-5.5774391534574992</v>
      </c>
    </row>
    <row r="487" spans="1:34" x14ac:dyDescent="0.3">
      <c r="A487" s="347">
        <f t="shared" ca="1" si="209"/>
        <v>0.1</v>
      </c>
      <c r="B487" s="304">
        <f t="shared" ca="1" si="210"/>
        <v>30.300000000000164</v>
      </c>
      <c r="D487" s="306">
        <f t="shared" ca="1" si="211"/>
        <v>-0.77776739883679147</v>
      </c>
      <c r="E487" s="307">
        <f t="shared" ca="1" si="212"/>
        <v>-4.2387465676884224</v>
      </c>
      <c r="F487" s="304">
        <f t="shared" ca="1" si="213"/>
        <v>4.3095121060026891</v>
      </c>
      <c r="G487" s="306">
        <f t="shared" ca="1" si="214"/>
        <v>15.330861349200124</v>
      </c>
      <c r="H487" s="307">
        <f t="shared" ca="1" si="215"/>
        <v>-110.79804046706535</v>
      </c>
      <c r="I487" s="304">
        <f t="shared" ca="1" si="216"/>
        <v>111.85365922065245</v>
      </c>
      <c r="J487" s="306">
        <f t="shared" ca="1" si="217"/>
        <v>730.39920002068686</v>
      </c>
      <c r="K487" s="307">
        <f t="shared" ca="1" si="218"/>
        <v>419.36070401431112</v>
      </c>
      <c r="L487" s="304">
        <f t="shared" ca="1" si="203"/>
        <v>842.22704270418558</v>
      </c>
      <c r="M487" s="306">
        <f t="shared" ca="1" si="219"/>
        <v>-1.4333017415903653</v>
      </c>
      <c r="N487" s="304">
        <f t="shared" ca="1" si="220"/>
        <v>-82.122140561878467</v>
      </c>
      <c r="P487" s="310">
        <f t="shared" ca="1" si="221"/>
        <v>23</v>
      </c>
      <c r="Q487" s="304">
        <f t="shared" ca="1" si="222"/>
        <v>0</v>
      </c>
      <c r="R487" s="306">
        <f t="shared" ca="1" si="223"/>
        <v>0</v>
      </c>
      <c r="S487" s="307">
        <f t="shared" ca="1" si="224"/>
        <v>8.0499999999999989</v>
      </c>
      <c r="T487" s="304">
        <f t="shared" ca="1" si="204"/>
        <v>78.970499999999987</v>
      </c>
      <c r="U487" s="311">
        <f t="shared" ca="1" si="205"/>
        <v>0</v>
      </c>
      <c r="V487" s="306">
        <f t="shared" ca="1" si="206"/>
        <v>1.1746833549429845</v>
      </c>
      <c r="W487" s="304">
        <f t="shared" ca="1" si="207"/>
        <v>45.667106385762203</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4.090499482133283</v>
      </c>
      <c r="AH487" s="304">
        <f t="shared" ca="1" si="231"/>
        <v>-5.6252810537551712</v>
      </c>
    </row>
    <row r="488" spans="1:34" x14ac:dyDescent="0.3">
      <c r="A488" s="347">
        <f t="shared" ca="1" si="209"/>
        <v>0.1</v>
      </c>
      <c r="B488" s="304">
        <f t="shared" ca="1" si="210"/>
        <v>30.400000000000166</v>
      </c>
      <c r="D488" s="306">
        <f t="shared" ca="1" si="211"/>
        <v>-0.77754220783861006</v>
      </c>
      <c r="E488" s="307">
        <f t="shared" ca="1" si="212"/>
        <v>-4.1906058220304416</v>
      </c>
      <c r="F488" s="304">
        <f t="shared" ca="1" si="213"/>
        <v>4.2621296367668089</v>
      </c>
      <c r="G488" s="306">
        <f t="shared" ca="1" si="214"/>
        <v>15.253107128416262</v>
      </c>
      <c r="H488" s="307">
        <f t="shared" ca="1" si="215"/>
        <v>-111.21710104926839</v>
      </c>
      <c r="I488" s="304">
        <f t="shared" ca="1" si="216"/>
        <v>112.25818831102754</v>
      </c>
      <c r="J488" s="306">
        <f t="shared" ca="1" si="217"/>
        <v>731.92839844456773</v>
      </c>
      <c r="K488" s="307">
        <f t="shared" ca="1" si="218"/>
        <v>408.25994693849441</v>
      </c>
      <c r="L488" s="304">
        <f t="shared" ca="1" si="203"/>
        <v>838.09030821496333</v>
      </c>
      <c r="M488" s="306">
        <f t="shared" ca="1" si="219"/>
        <v>-1.4344994950715966</v>
      </c>
      <c r="N488" s="304">
        <f t="shared" ca="1" si="220"/>
        <v>-82.190766781250119</v>
      </c>
      <c r="P488" s="310">
        <f t="shared" ca="1" si="221"/>
        <v>23</v>
      </c>
      <c r="Q488" s="304">
        <f t="shared" ca="1" si="222"/>
        <v>0</v>
      </c>
      <c r="R488" s="306">
        <f t="shared" ca="1" si="223"/>
        <v>0</v>
      </c>
      <c r="S488" s="307">
        <f t="shared" ca="1" si="224"/>
        <v>8.0499999999999989</v>
      </c>
      <c r="T488" s="304">
        <f t="shared" ca="1" si="204"/>
        <v>78.970499999999987</v>
      </c>
      <c r="U488" s="311">
        <f t="shared" ca="1" si="205"/>
        <v>0</v>
      </c>
      <c r="V488" s="306">
        <f t="shared" ca="1" si="206"/>
        <v>1.1759886255565184</v>
      </c>
      <c r="W488" s="304">
        <f t="shared" ca="1" si="207"/>
        <v>46.049133849376226</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4.0444856683400774</v>
      </c>
      <c r="AH488" s="304">
        <f t="shared" ca="1" si="231"/>
        <v>-5.6729324702810198</v>
      </c>
    </row>
    <row r="489" spans="1:34" x14ac:dyDescent="0.3">
      <c r="A489" s="347">
        <f t="shared" ca="1" si="209"/>
        <v>0.1</v>
      </c>
      <c r="B489" s="304">
        <f t="shared" ca="1" si="210"/>
        <v>30.500000000000167</v>
      </c>
      <c r="D489" s="306">
        <f t="shared" ca="1" si="211"/>
        <v>-0.77725921015038313</v>
      </c>
      <c r="E489" s="307">
        <f t="shared" ca="1" si="212"/>
        <v>-4.1426618380772302</v>
      </c>
      <c r="F489" s="304">
        <f t="shared" ca="1" si="213"/>
        <v>4.2149470915332987</v>
      </c>
      <c r="G489" s="306">
        <f t="shared" ca="1" si="214"/>
        <v>15.175381207401225</v>
      </c>
      <c r="H489" s="307">
        <f t="shared" ca="1" si="215"/>
        <v>-111.63136723307612</v>
      </c>
      <c r="I489" s="304">
        <f t="shared" ca="1" si="216"/>
        <v>112.65813039952265</v>
      </c>
      <c r="J489" s="306">
        <f t="shared" ca="1" si="217"/>
        <v>733.4498228613586</v>
      </c>
      <c r="K489" s="307">
        <f t="shared" ca="1" si="218"/>
        <v>397.11752352437719</v>
      </c>
      <c r="L489" s="304">
        <f t="shared" ca="1" si="203"/>
        <v>834.05693459469092</v>
      </c>
      <c r="M489" s="306">
        <f t="shared" ca="1" si="219"/>
        <v>-1.4356826642846341</v>
      </c>
      <c r="N489" s="304">
        <f t="shared" ca="1" si="220"/>
        <v>-82.258557383606984</v>
      </c>
      <c r="P489" s="310">
        <f t="shared" ca="1" si="221"/>
        <v>23</v>
      </c>
      <c r="Q489" s="304">
        <f t="shared" ca="1" si="222"/>
        <v>0</v>
      </c>
      <c r="R489" s="306">
        <f t="shared" ca="1" si="223"/>
        <v>0</v>
      </c>
      <c r="S489" s="307">
        <f t="shared" ca="1" si="224"/>
        <v>8.0499999999999989</v>
      </c>
      <c r="T489" s="304">
        <f t="shared" ca="1" si="204"/>
        <v>78.970499999999987</v>
      </c>
      <c r="U489" s="311">
        <f t="shared" ca="1" si="205"/>
        <v>0</v>
      </c>
      <c r="V489" s="306">
        <f t="shared" ca="1" si="206"/>
        <v>1.1773002242099839</v>
      </c>
      <c r="W489" s="304">
        <f t="shared" ca="1" si="207"/>
        <v>46.42956264310935</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3.9986323404376209</v>
      </c>
      <c r="AH489" s="304">
        <f t="shared" ca="1" si="231"/>
        <v>-5.7203892980591595</v>
      </c>
    </row>
    <row r="490" spans="1:34" x14ac:dyDescent="0.3">
      <c r="A490" s="347">
        <f t="shared" ca="1" si="209"/>
        <v>0.1</v>
      </c>
      <c r="B490" s="304">
        <f t="shared" ca="1" si="210"/>
        <v>30.600000000000168</v>
      </c>
      <c r="D490" s="306">
        <f t="shared" ca="1" si="211"/>
        <v>-0.77691907079801226</v>
      </c>
      <c r="E490" s="307">
        <f t="shared" ca="1" si="212"/>
        <v>-4.0949186509835682</v>
      </c>
      <c r="F490" s="304">
        <f t="shared" ca="1" si="213"/>
        <v>4.1679685700281777</v>
      </c>
      <c r="G490" s="306">
        <f t="shared" ca="1" si="214"/>
        <v>15.097689300321424</v>
      </c>
      <c r="H490" s="307">
        <f t="shared" ca="1" si="215"/>
        <v>-112.04085909817448</v>
      </c>
      <c r="I490" s="304">
        <f t="shared" ca="1" si="216"/>
        <v>113.05350206723375</v>
      </c>
      <c r="J490" s="306">
        <f t="shared" ca="1" si="217"/>
        <v>734.96347638674479</v>
      </c>
      <c r="K490" s="307">
        <f t="shared" ca="1" si="218"/>
        <v>385.93391220781467</v>
      </c>
      <c r="L490" s="304">
        <f t="shared" ca="1" si="203"/>
        <v>830.13028869841776</v>
      </c>
      <c r="M490" s="306">
        <f t="shared" ca="1" si="219"/>
        <v>-1.4368515233673955</v>
      </c>
      <c r="N490" s="304">
        <f t="shared" ca="1" si="220"/>
        <v>-82.325528075894752</v>
      </c>
      <c r="P490" s="310">
        <f t="shared" ca="1" si="221"/>
        <v>23</v>
      </c>
      <c r="Q490" s="304">
        <f t="shared" ca="1" si="222"/>
        <v>0</v>
      </c>
      <c r="R490" s="306">
        <f t="shared" ca="1" si="223"/>
        <v>0</v>
      </c>
      <c r="S490" s="307">
        <f t="shared" ca="1" si="224"/>
        <v>8.0499999999999989</v>
      </c>
      <c r="T490" s="304">
        <f t="shared" ca="1" si="204"/>
        <v>78.970499999999987</v>
      </c>
      <c r="U490" s="311">
        <f t="shared" ca="1" si="205"/>
        <v>0</v>
      </c>
      <c r="V490" s="306">
        <f t="shared" ca="1" si="206"/>
        <v>1.1786181129115245</v>
      </c>
      <c r="W490" s="304">
        <f t="shared" ca="1" si="207"/>
        <v>46.808361347824196</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3.9529443908892201</v>
      </c>
      <c r="AH490" s="304">
        <f t="shared" ca="1" si="231"/>
        <v>-5.7676475333055102</v>
      </c>
    </row>
    <row r="491" spans="1:34" x14ac:dyDescent="0.3">
      <c r="A491" s="347">
        <f t="shared" ca="1" si="209"/>
        <v>0.1</v>
      </c>
      <c r="B491" s="304">
        <f t="shared" ca="1" si="210"/>
        <v>30.70000000000017</v>
      </c>
      <c r="D491" s="306">
        <f t="shared" ca="1" si="211"/>
        <v>-0.77652245869777936</v>
      </c>
      <c r="E491" s="307">
        <f t="shared" ca="1" si="212"/>
        <v>-4.0473801943537424</v>
      </c>
      <c r="F491" s="304">
        <f t="shared" ca="1" si="213"/>
        <v>4.1211980741659318</v>
      </c>
      <c r="G491" s="306">
        <f t="shared" ca="1" si="214"/>
        <v>15.020037054451645</v>
      </c>
      <c r="H491" s="307">
        <f t="shared" ca="1" si="215"/>
        <v>-112.44559711760985</v>
      </c>
      <c r="I491" s="304">
        <f t="shared" ca="1" si="216"/>
        <v>113.44432037018393</v>
      </c>
      <c r="J491" s="306">
        <f t="shared" ca="1" si="217"/>
        <v>736.46936270448339</v>
      </c>
      <c r="K491" s="307">
        <f t="shared" ca="1" si="218"/>
        <v>374.70958939702547</v>
      </c>
      <c r="L491" s="304">
        <f t="shared" ca="1" si="203"/>
        <v>826.31374101392953</v>
      </c>
      <c r="M491" s="306">
        <f t="shared" ca="1" si="219"/>
        <v>-1.438006339413751</v>
      </c>
      <c r="N491" s="304">
        <f t="shared" ca="1" si="220"/>
        <v>-82.391694161464898</v>
      </c>
      <c r="P491" s="310">
        <f t="shared" ca="1" si="221"/>
        <v>23</v>
      </c>
      <c r="Q491" s="304">
        <f t="shared" ca="1" si="222"/>
        <v>0</v>
      </c>
      <c r="R491" s="306">
        <f t="shared" ca="1" si="223"/>
        <v>0</v>
      </c>
      <c r="S491" s="307">
        <f t="shared" ca="1" si="224"/>
        <v>8.0499999999999989</v>
      </c>
      <c r="T491" s="304">
        <f t="shared" ca="1" si="204"/>
        <v>78.970499999999987</v>
      </c>
      <c r="U491" s="311">
        <f t="shared" ca="1" si="205"/>
        <v>0</v>
      </c>
      <c r="V491" s="306">
        <f t="shared" ca="1" si="206"/>
        <v>1.1799422537781614</v>
      </c>
      <c r="W491" s="304">
        <f t="shared" ca="1" si="207"/>
        <v>47.185499352152029</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3.9074265828003965</v>
      </c>
      <c r="AH491" s="304">
        <f t="shared" ca="1" si="231"/>
        <v>-5.8147032730216397</v>
      </c>
    </row>
    <row r="492" spans="1:34" x14ac:dyDescent="0.3">
      <c r="A492" s="347">
        <f t="shared" ca="1" si="209"/>
        <v>0.1</v>
      </c>
      <c r="B492" s="304">
        <f t="shared" ca="1" si="210"/>
        <v>30.800000000000171</v>
      </c>
      <c r="D492" s="306">
        <f t="shared" ca="1" si="211"/>
        <v>-0.7760700463621254</v>
      </c>
      <c r="E492" s="307">
        <f t="shared" ca="1" si="212"/>
        <v>-4.0000503006804191</v>
      </c>
      <c r="F492" s="304">
        <f t="shared" ca="1" si="213"/>
        <v>4.0746395085742275</v>
      </c>
      <c r="G492" s="306">
        <f t="shared" ca="1" si="214"/>
        <v>14.942430049815433</v>
      </c>
      <c r="H492" s="307">
        <f t="shared" ca="1" si="215"/>
        <v>-112.84560214767789</v>
      </c>
      <c r="I492" s="304">
        <f t="shared" ca="1" si="216"/>
        <v>113.83060282659331</v>
      </c>
      <c r="J492" s="306">
        <f t="shared" ca="1" si="217"/>
        <v>737.96748605969674</v>
      </c>
      <c r="K492" s="307">
        <f t="shared" ca="1" si="218"/>
        <v>363.44502943376108</v>
      </c>
      <c r="L492" s="304">
        <f t="shared" ca="1" si="203"/>
        <v>822.61066118874021</v>
      </c>
      <c r="M492" s="306">
        <f t="shared" ca="1" si="219"/>
        <v>-1.4391473726957442</v>
      </c>
      <c r="N492" s="304">
        <f t="shared" ca="1" si="220"/>
        <v>-82.457070552807068</v>
      </c>
      <c r="P492" s="310">
        <f t="shared" ca="1" si="221"/>
        <v>23</v>
      </c>
      <c r="Q492" s="304">
        <f t="shared" ca="1" si="222"/>
        <v>0</v>
      </c>
      <c r="R492" s="306">
        <f t="shared" ca="1" si="223"/>
        <v>0</v>
      </c>
      <c r="S492" s="307">
        <f t="shared" ca="1" si="224"/>
        <v>8.0499999999999989</v>
      </c>
      <c r="T492" s="304">
        <f t="shared" ca="1" si="204"/>
        <v>78.970499999999987</v>
      </c>
      <c r="U492" s="311">
        <f t="shared" ca="1" si="205"/>
        <v>0</v>
      </c>
      <c r="V492" s="306">
        <f t="shared" ca="1" si="206"/>
        <v>1.1812726090391064</v>
      </c>
      <c r="W492" s="304">
        <f t="shared" ca="1" si="207"/>
        <v>47.5609468486577</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3.8620835514514429</v>
      </c>
      <c r="AH492" s="304">
        <f t="shared" ca="1" si="231"/>
        <v>-5.8615527145530475</v>
      </c>
    </row>
    <row r="493" spans="1:34" x14ac:dyDescent="0.3">
      <c r="A493" s="347">
        <f t="shared" ca="1" si="209"/>
        <v>0.1</v>
      </c>
      <c r="B493" s="304">
        <f t="shared" ca="1" si="210"/>
        <v>30.900000000000173</v>
      </c>
      <c r="D493" s="306">
        <f t="shared" ca="1" si="211"/>
        <v>-0.77556250961025319</v>
      </c>
      <c r="E493" s="307">
        <f t="shared" ca="1" si="212"/>
        <v>-3.9529327018188543</v>
      </c>
      <c r="F493" s="304">
        <f t="shared" ca="1" si="213"/>
        <v>4.028296681157169</v>
      </c>
      <c r="G493" s="306">
        <f t="shared" ca="1" si="214"/>
        <v>14.864873798854408</v>
      </c>
      <c r="H493" s="307">
        <f t="shared" ca="1" si="215"/>
        <v>-113.24089541785978</v>
      </c>
      <c r="I493" s="304">
        <f t="shared" ca="1" si="216"/>
        <v>114.21236740429875</v>
      </c>
      <c r="J493" s="306">
        <f t="shared" ca="1" si="217"/>
        <v>739.45785125213024</v>
      </c>
      <c r="K493" s="307">
        <f t="shared" ca="1" si="218"/>
        <v>352.14070455548421</v>
      </c>
      <c r="L493" s="304">
        <f t="shared" ca="1" si="203"/>
        <v>819.02441330112401</v>
      </c>
      <c r="M493" s="306">
        <f t="shared" ca="1" si="219"/>
        <v>-1.4402748768775615</v>
      </c>
      <c r="N493" s="304">
        <f t="shared" ca="1" si="220"/>
        <v>-82.521671783808557</v>
      </c>
      <c r="P493" s="310">
        <f t="shared" ca="1" si="221"/>
        <v>23</v>
      </c>
      <c r="Q493" s="304">
        <f t="shared" ca="1" si="222"/>
        <v>0</v>
      </c>
      <c r="R493" s="306">
        <f t="shared" ca="1" si="223"/>
        <v>0</v>
      </c>
      <c r="S493" s="307">
        <f t="shared" ca="1" si="224"/>
        <v>8.0499999999999989</v>
      </c>
      <c r="T493" s="304">
        <f t="shared" ca="1" si="204"/>
        <v>78.970499999999987</v>
      </c>
      <c r="U493" s="311">
        <f t="shared" ca="1" si="205"/>
        <v>0</v>
      </c>
      <c r="V493" s="306">
        <f t="shared" ca="1" si="206"/>
        <v>1.1826091410390149</v>
      </c>
      <c r="W493" s="304">
        <f t="shared" ca="1" si="207"/>
        <v>47.934674829734149</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3.8169198058167604</v>
      </c>
      <c r="AH493" s="304">
        <f t="shared" ca="1" si="231"/>
        <v>-5.9081921551127587</v>
      </c>
    </row>
    <row r="494" spans="1:34" x14ac:dyDescent="0.3">
      <c r="A494" s="347">
        <f t="shared" ca="1" si="209"/>
        <v>0.1</v>
      </c>
      <c r="B494" s="304">
        <f t="shared" ca="1" si="210"/>
        <v>31.000000000000174</v>
      </c>
      <c r="D494" s="306">
        <f t="shared" ca="1" si="211"/>
        <v>-0.77500052728356894</v>
      </c>
      <c r="E494" s="307">
        <f t="shared" ca="1" si="212"/>
        <v>-3.9060310294953009</v>
      </c>
      <c r="F494" s="304">
        <f t="shared" ca="1" si="213"/>
        <v>3.9821733036961025</v>
      </c>
      <c r="G494" s="306">
        <f t="shared" ca="1" si="214"/>
        <v>14.78737374612605</v>
      </c>
      <c r="H494" s="307">
        <f t="shared" ca="1" si="215"/>
        <v>-113.6314985208093</v>
      </c>
      <c r="I494" s="304">
        <f t="shared" ca="1" si="216"/>
        <v>114.58963250832208</v>
      </c>
      <c r="J494" s="306">
        <f t="shared" ca="1" si="217"/>
        <v>740.94046362937922</v>
      </c>
      <c r="K494" s="307">
        <f t="shared" ca="1" si="218"/>
        <v>340.79708485855076</v>
      </c>
      <c r="L494" s="304">
        <f t="shared" ca="1" si="203"/>
        <v>815.55835088079732</v>
      </c>
      <c r="M494" s="306">
        <f t="shared" ca="1" si="219"/>
        <v>-1.4413890992216007</v>
      </c>
      <c r="N494" s="304">
        <f t="shared" ca="1" si="220"/>
        <v>-82.585512021561172</v>
      </c>
      <c r="P494" s="310">
        <f t="shared" ca="1" si="221"/>
        <v>23</v>
      </c>
      <c r="Q494" s="304">
        <f t="shared" ca="1" si="222"/>
        <v>0</v>
      </c>
      <c r="R494" s="306">
        <f t="shared" ca="1" si="223"/>
        <v>0</v>
      </c>
      <c r="S494" s="307">
        <f t="shared" ca="1" si="224"/>
        <v>8.0499999999999989</v>
      </c>
      <c r="T494" s="304">
        <f t="shared" ca="1" si="204"/>
        <v>78.970499999999987</v>
      </c>
      <c r="U494" s="311">
        <f t="shared" ca="1" si="205"/>
        <v>0</v>
      </c>
      <c r="V494" s="306">
        <f t="shared" ca="1" si="206"/>
        <v>1.1839518122411743</v>
      </c>
      <c r="W494" s="304">
        <f t="shared" ca="1" si="207"/>
        <v>48.306655083233885</v>
      </c>
      <c r="Y494" s="314" t="str">
        <f t="shared" ca="1" si="225"/>
        <v/>
      </c>
      <c r="Z494" s="315" t="str">
        <f t="shared" ca="1" si="226"/>
        <v/>
      </c>
      <c r="AA494" s="316" t="str">
        <f t="shared" ca="1" si="227"/>
        <v/>
      </c>
      <c r="AC494" s="310">
        <f t="shared" ca="1" si="228"/>
        <v>31.000000000000174</v>
      </c>
      <c r="AD494" s="323">
        <f t="shared" ca="1" si="229"/>
        <v>740.94046362937922</v>
      </c>
      <c r="AE494" s="324" t="e">
        <f t="shared" ca="1" si="208"/>
        <v>#N/A</v>
      </c>
      <c r="AG494" s="306">
        <f t="shared" ca="1" si="230"/>
        <v>3.7719397300721926</v>
      </c>
      <c r="AH494" s="304">
        <f t="shared" ca="1" si="231"/>
        <v>-5.9546179912713235</v>
      </c>
    </row>
    <row r="495" spans="1:34" x14ac:dyDescent="0.3">
      <c r="A495" s="347">
        <f t="shared" ca="1" si="209"/>
        <v>0.1</v>
      </c>
      <c r="B495" s="304">
        <f t="shared" ca="1" si="210"/>
        <v>31.100000000000176</v>
      </c>
      <c r="D495" s="306">
        <f t="shared" ca="1" si="211"/>
        <v>-0.77438478096597962</v>
      </c>
      <c r="E495" s="307">
        <f t="shared" ca="1" si="212"/>
        <v>-3.8593488158486906</v>
      </c>
      <c r="F495" s="304">
        <f t="shared" ca="1" si="213"/>
        <v>3.9362729924872357</v>
      </c>
      <c r="G495" s="306">
        <f t="shared" ca="1" si="214"/>
        <v>14.709935268029453</v>
      </c>
      <c r="H495" s="307">
        <f t="shared" ca="1" si="215"/>
        <v>-114.01743340239418</v>
      </c>
      <c r="I495" s="304">
        <f t="shared" ca="1" si="216"/>
        <v>114.9624169685859</v>
      </c>
      <c r="J495" s="306">
        <f t="shared" ca="1" si="217"/>
        <v>742.41532908008696</v>
      </c>
      <c r="K495" s="307">
        <f t="shared" ca="1" si="218"/>
        <v>329.41463826239061</v>
      </c>
      <c r="L495" s="304">
        <f t="shared" ca="1" si="203"/>
        <v>812.21581168716205</v>
      </c>
      <c r="M495" s="306">
        <f t="shared" ca="1" si="219"/>
        <v>-1.4424902807869717</v>
      </c>
      <c r="N495" s="304">
        <f t="shared" ca="1" si="220"/>
        <v>-82.648605077734544</v>
      </c>
      <c r="P495" s="310">
        <f t="shared" ca="1" si="221"/>
        <v>23</v>
      </c>
      <c r="Q495" s="304">
        <f t="shared" ca="1" si="222"/>
        <v>0</v>
      </c>
      <c r="R495" s="306">
        <f t="shared" ca="1" si="223"/>
        <v>0</v>
      </c>
      <c r="S495" s="307">
        <f t="shared" ca="1" si="224"/>
        <v>8.0499999999999989</v>
      </c>
      <c r="T495" s="304">
        <f t="shared" ca="1" si="204"/>
        <v>78.970499999999987</v>
      </c>
      <c r="U495" s="311">
        <f t="shared" ca="1" si="205"/>
        <v>0</v>
      </c>
      <c r="V495" s="306">
        <f t="shared" ca="1" si="206"/>
        <v>1.1853005852306311</v>
      </c>
      <c r="W495" s="304">
        <f t="shared" ca="1" si="207"/>
        <v>48.676860187845932</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3.7271475850917319</v>
      </c>
      <c r="AH495" s="304">
        <f t="shared" ca="1" si="231"/>
        <v>-6.0008267184141477</v>
      </c>
    </row>
    <row r="496" spans="1:34" x14ac:dyDescent="0.3">
      <c r="A496" s="347">
        <f t="shared" ca="1" si="209"/>
        <v>0.1</v>
      </c>
      <c r="B496" s="304">
        <f t="shared" ca="1" si="210"/>
        <v>31.200000000000177</v>
      </c>
      <c r="D496" s="306">
        <f t="shared" ca="1" si="211"/>
        <v>-0.7737159547090865</v>
      </c>
      <c r="E496" s="307">
        <f t="shared" ca="1" si="212"/>
        <v>-3.8128894940045068</v>
      </c>
      <c r="F496" s="304">
        <f t="shared" ca="1" si="213"/>
        <v>3.8905992690151652</v>
      </c>
      <c r="G496" s="306">
        <f t="shared" ca="1" si="214"/>
        <v>14.632563672558543</v>
      </c>
      <c r="H496" s="307">
        <f t="shared" ca="1" si="215"/>
        <v>-114.39872235179463</v>
      </c>
      <c r="I496" s="304">
        <f t="shared" ca="1" si="216"/>
        <v>115.3307400277761</v>
      </c>
      <c r="J496" s="306">
        <f t="shared" ca="1" si="217"/>
        <v>743.88245402711641</v>
      </c>
      <c r="K496" s="307">
        <f t="shared" ca="1" si="218"/>
        <v>317.99383047468115</v>
      </c>
      <c r="L496" s="304">
        <f t="shared" ca="1" si="203"/>
        <v>809.00011225547132</v>
      </c>
      <c r="M496" s="306">
        <f t="shared" ca="1" si="219"/>
        <v>-1.4435786566207525</v>
      </c>
      <c r="N496" s="304">
        <f t="shared" ca="1" si="220"/>
        <v>-82.710964419534207</v>
      </c>
      <c r="P496" s="310">
        <f t="shared" ca="1" si="221"/>
        <v>23</v>
      </c>
      <c r="Q496" s="304">
        <f t="shared" ca="1" si="222"/>
        <v>0</v>
      </c>
      <c r="R496" s="306">
        <f t="shared" ca="1" si="223"/>
        <v>0</v>
      </c>
      <c r="S496" s="307">
        <f t="shared" ca="1" si="224"/>
        <v>8.0499999999999989</v>
      </c>
      <c r="T496" s="304">
        <f t="shared" ca="1" si="204"/>
        <v>78.970499999999987</v>
      </c>
      <c r="U496" s="311">
        <f t="shared" ca="1" si="205"/>
        <v>0</v>
      </c>
      <c r="V496" s="306">
        <f t="shared" ca="1" si="206"/>
        <v>1.1866554227172552</v>
      </c>
      <c r="W496" s="304">
        <f t="shared" ca="1" si="207"/>
        <v>49.045263508225823</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3.6825475099346496</v>
      </c>
      <c r="AH496" s="304">
        <f t="shared" ca="1" si="231"/>
        <v>-6.046814930167197</v>
      </c>
    </row>
    <row r="497" spans="1:34" x14ac:dyDescent="0.3">
      <c r="A497" s="347">
        <f t="shared" ca="1" si="209"/>
        <v>0.1</v>
      </c>
      <c r="B497" s="304">
        <f t="shared" ca="1" si="210"/>
        <v>31.300000000000178</v>
      </c>
      <c r="D497" s="306">
        <f t="shared" ca="1" si="211"/>
        <v>-0.77299473476225355</v>
      </c>
      <c r="E497" s="307">
        <f t="shared" ca="1" si="212"/>
        <v>-3.7666563986798653</v>
      </c>
      <c r="F497" s="304">
        <f t="shared" ca="1" si="213"/>
        <v>3.8451555606615111</v>
      </c>
      <c r="G497" s="306">
        <f t="shared" ca="1" si="214"/>
        <v>14.555264199082318</v>
      </c>
      <c r="H497" s="307">
        <f t="shared" ca="1" si="215"/>
        <v>-114.77538799166261</v>
      </c>
      <c r="I497" s="304">
        <f t="shared" ca="1" si="216"/>
        <v>115.69462132935038</v>
      </c>
      <c r="J497" s="306">
        <f t="shared" ca="1" si="217"/>
        <v>745.34184542069841</v>
      </c>
      <c r="K497" s="307">
        <f t="shared" ca="1" si="218"/>
        <v>306.53512495750829</v>
      </c>
      <c r="L497" s="304">
        <f t="shared" ca="1" si="203"/>
        <v>805.91454222383129</v>
      </c>
      <c r="M497" s="306">
        <f t="shared" ca="1" si="219"/>
        <v>-1.4446544559423007</v>
      </c>
      <c r="N497" s="304">
        <f t="shared" ca="1" si="220"/>
        <v>-82.772603180261967</v>
      </c>
      <c r="P497" s="310">
        <f t="shared" ca="1" si="221"/>
        <v>23</v>
      </c>
      <c r="Q497" s="304">
        <f t="shared" ca="1" si="222"/>
        <v>0</v>
      </c>
      <c r="R497" s="306">
        <f t="shared" ca="1" si="223"/>
        <v>0</v>
      </c>
      <c r="S497" s="307">
        <f t="shared" ca="1" si="224"/>
        <v>8.0499999999999989</v>
      </c>
      <c r="T497" s="304">
        <f t="shared" ca="1" si="204"/>
        <v>78.970499999999987</v>
      </c>
      <c r="U497" s="311">
        <f t="shared" ca="1" si="205"/>
        <v>0</v>
      </c>
      <c r="V497" s="306">
        <f t="shared" ca="1" si="206"/>
        <v>1.1880162875387408</v>
      </c>
      <c r="W497" s="304">
        <f t="shared" ca="1" si="207"/>
        <v>49.411839189886827</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3.6381435233240831</v>
      </c>
      <c r="AH497" s="304">
        <f t="shared" ca="1" si="231"/>
        <v>-6.0925793177920289</v>
      </c>
    </row>
    <row r="498" spans="1:34" x14ac:dyDescent="0.3">
      <c r="A498" s="347">
        <f t="shared" ca="1" si="209"/>
        <v>0.1</v>
      </c>
      <c r="B498" s="304">
        <f t="shared" ca="1" si="210"/>
        <v>31.40000000000018</v>
      </c>
      <c r="D498" s="306">
        <f t="shared" ca="1" si="211"/>
        <v>-0.77222180930759854</v>
      </c>
      <c r="E498" s="307">
        <f t="shared" ca="1" si="212"/>
        <v>-3.7206527668188025</v>
      </c>
      <c r="F498" s="304">
        <f t="shared" ca="1" si="213"/>
        <v>3.7999452014478723</v>
      </c>
      <c r="G498" s="306">
        <f t="shared" ca="1" si="214"/>
        <v>14.478042018151559</v>
      </c>
      <c r="H498" s="307">
        <f t="shared" ca="1" si="215"/>
        <v>-115.14745326834449</v>
      </c>
      <c r="I498" s="304">
        <f t="shared" ca="1" si="216"/>
        <v>116.05408090569215</v>
      </c>
      <c r="J498" s="306">
        <f t="shared" ca="1" si="217"/>
        <v>746.7935107315601</v>
      </c>
      <c r="K498" s="307">
        <f t="shared" ca="1" si="218"/>
        <v>295.03898289450791</v>
      </c>
      <c r="L498" s="304">
        <f t="shared" ca="1" si="203"/>
        <v>802.96235845660567</v>
      </c>
      <c r="M498" s="306">
        <f t="shared" ca="1" si="219"/>
        <v>-1.4457179023209128</v>
      </c>
      <c r="N498" s="304">
        <f t="shared" ca="1" si="220"/>
        <v>-82.833534169494911</v>
      </c>
      <c r="P498" s="310">
        <f t="shared" ca="1" si="221"/>
        <v>23</v>
      </c>
      <c r="Q498" s="304">
        <f t="shared" ca="1" si="222"/>
        <v>0</v>
      </c>
      <c r="R498" s="306">
        <f t="shared" ca="1" si="223"/>
        <v>0</v>
      </c>
      <c r="S498" s="307">
        <f t="shared" ca="1" si="224"/>
        <v>8.0499999999999989</v>
      </c>
      <c r="T498" s="304">
        <f t="shared" ca="1" si="204"/>
        <v>78.970499999999987</v>
      </c>
      <c r="U498" s="311">
        <f t="shared" ca="1" si="205"/>
        <v>0</v>
      </c>
      <c r="V498" s="306">
        <f t="shared" ca="1" si="206"/>
        <v>1.1893831426635451</v>
      </c>
      <c r="W498" s="304">
        <f t="shared" ca="1" si="207"/>
        <v>49.776562153860368</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3.5939395251180244</v>
      </c>
      <c r="AH498" s="304">
        <f t="shared" ca="1" si="231"/>
        <v>-6.1381166695511595</v>
      </c>
    </row>
    <row r="499" spans="1:34" x14ac:dyDescent="0.3">
      <c r="A499" s="347">
        <f t="shared" ca="1" si="209"/>
        <v>0.1</v>
      </c>
      <c r="B499" s="304">
        <f t="shared" ca="1" si="210"/>
        <v>31.500000000000181</v>
      </c>
      <c r="D499" s="306">
        <f t="shared" ca="1" si="211"/>
        <v>-0.77139786819989864</v>
      </c>
      <c r="E499" s="307">
        <f t="shared" ca="1" si="212"/>
        <v>-3.6748817382567065</v>
      </c>
      <c r="F499" s="304">
        <f t="shared" ca="1" si="213"/>
        <v>3.7549714328122366</v>
      </c>
      <c r="G499" s="306">
        <f t="shared" ca="1" si="214"/>
        <v>14.400902231331569</v>
      </c>
      <c r="H499" s="307">
        <f t="shared" ca="1" si="215"/>
        <v>-115.51494144217017</v>
      </c>
      <c r="I499" s="304">
        <f t="shared" ca="1" si="216"/>
        <v>116.40913916640899</v>
      </c>
      <c r="J499" s="306">
        <f t="shared" ca="1" si="217"/>
        <v>748.2374579440343</v>
      </c>
      <c r="K499" s="307">
        <f t="shared" ca="1" si="218"/>
        <v>283.50586315898215</v>
      </c>
      <c r="L499" s="304">
        <f t="shared" ca="1" si="203"/>
        <v>800.14677898250022</v>
      </c>
      <c r="M499" s="306">
        <f t="shared" ca="1" si="219"/>
        <v>-1.4467692138471053</v>
      </c>
      <c r="N499" s="304">
        <f t="shared" ca="1" si="220"/>
        <v>-82.893769882899193</v>
      </c>
      <c r="P499" s="310">
        <f t="shared" ca="1" si="221"/>
        <v>23</v>
      </c>
      <c r="Q499" s="304">
        <f t="shared" ca="1" si="222"/>
        <v>0</v>
      </c>
      <c r="R499" s="306">
        <f t="shared" ca="1" si="223"/>
        <v>0</v>
      </c>
      <c r="S499" s="307">
        <f t="shared" ca="1" si="224"/>
        <v>8.0499999999999989</v>
      </c>
      <c r="T499" s="304">
        <f t="shared" ca="1" si="204"/>
        <v>78.970499999999987</v>
      </c>
      <c r="U499" s="311">
        <f t="shared" ca="1" si="205"/>
        <v>0</v>
      </c>
      <c r="V499" s="306">
        <f t="shared" ca="1" si="206"/>
        <v>1.1907559511937684</v>
      </c>
      <c r="W499" s="304">
        <f t="shared" ca="1" si="207"/>
        <v>50.139408091133639</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3.5499392977734496</v>
      </c>
      <c r="AH499" s="304">
        <f t="shared" ca="1" si="231"/>
        <v>-6.1834238700447672</v>
      </c>
    </row>
    <row r="500" spans="1:34" x14ac:dyDescent="0.3">
      <c r="A500" s="347">
        <f t="shared" ca="1" si="209"/>
        <v>0.1</v>
      </c>
      <c r="B500" s="304">
        <f t="shared" ca="1" si="210"/>
        <v>31.600000000000183</v>
      </c>
      <c r="D500" s="306">
        <f t="shared" ca="1" si="211"/>
        <v>-0.77052360271142695</v>
      </c>
      <c r="E500" s="307">
        <f t="shared" ca="1" si="212"/>
        <v>-3.6293463564129391</v>
      </c>
      <c r="F500" s="304">
        <f t="shared" ca="1" si="213"/>
        <v>3.7102374044181152</v>
      </c>
      <c r="G500" s="306">
        <f t="shared" ca="1" si="214"/>
        <v>14.323849871060427</v>
      </c>
      <c r="H500" s="307">
        <f t="shared" ca="1" si="215"/>
        <v>-115.87787607781146</v>
      </c>
      <c r="I500" s="304">
        <f t="shared" ca="1" si="216"/>
        <v>116.75981688677534</v>
      </c>
      <c r="J500" s="306">
        <f t="shared" ca="1" si="217"/>
        <v>749.67369554915388</v>
      </c>
      <c r="K500" s="307">
        <f t="shared" ca="1" si="218"/>
        <v>271.93622228298307</v>
      </c>
      <c r="L500" s="304">
        <f t="shared" ca="1" si="203"/>
        <v>797.47097676834949</v>
      </c>
      <c r="M500" s="306">
        <f t="shared" ca="1" si="219"/>
        <v>-1.4478086032977822</v>
      </c>
      <c r="N500" s="304">
        <f t="shared" ca="1" si="220"/>
        <v>-82.953322511693401</v>
      </c>
      <c r="P500" s="310">
        <f t="shared" ca="1" si="221"/>
        <v>23</v>
      </c>
      <c r="Q500" s="304">
        <f t="shared" ca="1" si="222"/>
        <v>0</v>
      </c>
      <c r="R500" s="306">
        <f t="shared" ca="1" si="223"/>
        <v>0</v>
      </c>
      <c r="S500" s="307">
        <f t="shared" ca="1" si="224"/>
        <v>8.0499999999999989</v>
      </c>
      <c r="T500" s="304">
        <f t="shared" ca="1" si="204"/>
        <v>78.970499999999987</v>
      </c>
      <c r="U500" s="311">
        <f t="shared" ca="1" si="205"/>
        <v>0</v>
      </c>
      <c r="V500" s="306">
        <f t="shared" ca="1" si="206"/>
        <v>1.1921346763679646</v>
      </c>
      <c r="W500" s="304">
        <f t="shared" ca="1" si="207"/>
        <v>50.500353456871679</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3.5061465078043348</v>
      </c>
      <c r="AH500" s="304">
        <f t="shared" ca="1" si="231"/>
        <v>-6.2284978995197076</v>
      </c>
    </row>
    <row r="501" spans="1:34" x14ac:dyDescent="0.3">
      <c r="A501" s="347">
        <f t="shared" ca="1" si="209"/>
        <v>0.1</v>
      </c>
      <c r="B501" s="304">
        <f t="shared" ca="1" si="210"/>
        <v>31.700000000000184</v>
      </c>
      <c r="D501" s="306">
        <f t="shared" ca="1" si="211"/>
        <v>-0.76959970528171773</v>
      </c>
      <c r="E501" s="307">
        <f t="shared" ca="1" si="212"/>
        <v>-3.5840495690106717</v>
      </c>
      <c r="F501" s="304">
        <f t="shared" ca="1" si="213"/>
        <v>3.6657461749956566</v>
      </c>
      <c r="G501" s="306">
        <f t="shared" ca="1" si="214"/>
        <v>14.246889900532254</v>
      </c>
      <c r="H501" s="307">
        <f t="shared" ca="1" si="215"/>
        <v>-116.23628103471253</v>
      </c>
      <c r="I501" s="304">
        <f t="shared" ca="1" si="216"/>
        <v>117.10613519631907</v>
      </c>
      <c r="J501" s="306">
        <f t="shared" ca="1" si="217"/>
        <v>751.10223253773347</v>
      </c>
      <c r="K501" s="307">
        <f t="shared" ca="1" si="218"/>
        <v>260.33051442735689</v>
      </c>
      <c r="L501" s="304">
        <f t="shared" ca="1" si="203"/>
        <v>794.93807335237113</v>
      </c>
      <c r="M501" s="306">
        <f t="shared" ca="1" si="219"/>
        <v>-1.4488362782955393</v>
      </c>
      <c r="N501" s="304">
        <f t="shared" ca="1" si="220"/>
        <v>-83.012203951776002</v>
      </c>
      <c r="P501" s="310">
        <f t="shared" ca="1" si="221"/>
        <v>23</v>
      </c>
      <c r="Q501" s="304">
        <f t="shared" ca="1" si="222"/>
        <v>0</v>
      </c>
      <c r="R501" s="306">
        <f t="shared" ca="1" si="223"/>
        <v>0</v>
      </c>
      <c r="S501" s="307">
        <f t="shared" ca="1" si="224"/>
        <v>8.0499999999999989</v>
      </c>
      <c r="T501" s="304">
        <f t="shared" ca="1" si="204"/>
        <v>78.970499999999987</v>
      </c>
      <c r="U501" s="311">
        <f t="shared" ca="1" si="205"/>
        <v>0</v>
      </c>
      <c r="V501" s="306">
        <f t="shared" ca="1" si="206"/>
        <v>1.1935192815638993</v>
      </c>
      <c r="W501" s="304">
        <f t="shared" ca="1" si="207"/>
        <v>50.859375464433107</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3.4625647072342716</v>
      </c>
      <c r="AH501" s="304">
        <f t="shared" ca="1" si="231"/>
        <v>-6.2733358331517621</v>
      </c>
    </row>
    <row r="502" spans="1:34" x14ac:dyDescent="0.3">
      <c r="A502" s="347">
        <f t="shared" ca="1" si="209"/>
        <v>0.1</v>
      </c>
      <c r="B502" s="304">
        <f t="shared" ca="1" si="210"/>
        <v>31.800000000000185</v>
      </c>
      <c r="D502" s="306">
        <f t="shared" ca="1" si="211"/>
        <v>-0.76862686927227897</v>
      </c>
      <c r="E502" s="307">
        <f t="shared" ca="1" si="212"/>
        <v>-3.5389942288228031</v>
      </c>
      <c r="F502" s="304">
        <f t="shared" ca="1" si="213"/>
        <v>3.6215007132138486</v>
      </c>
      <c r="G502" s="306">
        <f t="shared" ca="1" si="214"/>
        <v>14.170027213605026</v>
      </c>
      <c r="H502" s="307">
        <f t="shared" ca="1" si="215"/>
        <v>-116.59018045759481</v>
      </c>
      <c r="I502" s="304">
        <f t="shared" ca="1" si="216"/>
        <v>117.44811556755106</v>
      </c>
      <c r="J502" s="306">
        <f t="shared" ca="1" si="217"/>
        <v>752.5230783934403</v>
      </c>
      <c r="K502" s="307">
        <f t="shared" ca="1" si="218"/>
        <v>248.68919135274152</v>
      </c>
      <c r="L502" s="304">
        <f t="shared" ca="1" si="203"/>
        <v>792.551132363345</v>
      </c>
      <c r="M502" s="306">
        <f t="shared" ca="1" si="219"/>
        <v>-1.4498524414623444</v>
      </c>
      <c r="N502" s="304">
        <f t="shared" ca="1" si="220"/>
        <v>-83.070425812530573</v>
      </c>
      <c r="P502" s="310">
        <f t="shared" ca="1" si="221"/>
        <v>23</v>
      </c>
      <c r="Q502" s="304">
        <f t="shared" ca="1" si="222"/>
        <v>0</v>
      </c>
      <c r="R502" s="306">
        <f t="shared" ca="1" si="223"/>
        <v>0</v>
      </c>
      <c r="S502" s="307">
        <f t="shared" ca="1" si="224"/>
        <v>8.0499999999999989</v>
      </c>
      <c r="T502" s="304">
        <f t="shared" ca="1" si="204"/>
        <v>78.970499999999987</v>
      </c>
      <c r="U502" s="311">
        <f t="shared" ca="1" si="205"/>
        <v>0</v>
      </c>
      <c r="V502" s="306">
        <f t="shared" ca="1" si="206"/>
        <v>1.1949097303012379</v>
      </c>
      <c r="W502" s="304">
        <f t="shared" ca="1" si="207"/>
        <v>51.216452079185594</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3.4191973350440303</v>
      </c>
      <c r="AH502" s="304">
        <f t="shared" ca="1" si="231"/>
        <v>-6.3179348403022502</v>
      </c>
    </row>
    <row r="503" spans="1:34" x14ac:dyDescent="0.3">
      <c r="A503" s="347">
        <f t="shared" ca="1" si="209"/>
        <v>0.1</v>
      </c>
      <c r="B503" s="304">
        <f t="shared" ca="1" si="210"/>
        <v>31.900000000000187</v>
      </c>
      <c r="D503" s="306">
        <f t="shared" ca="1" si="211"/>
        <v>-0.76760578872624019</v>
      </c>
      <c r="E503" s="307">
        <f t="shared" ca="1" si="212"/>
        <v>-3.4941830944431818</v>
      </c>
      <c r="F503" s="304">
        <f t="shared" ca="1" si="213"/>
        <v>3.5775038985832794</v>
      </c>
      <c r="G503" s="306">
        <f t="shared" ca="1" si="214"/>
        <v>14.093266634732402</v>
      </c>
      <c r="H503" s="307">
        <f t="shared" ca="1" si="215"/>
        <v>-116.93959876703913</v>
      </c>
      <c r="I503" s="304">
        <f t="shared" ca="1" si="216"/>
        <v>117.7857798048379</v>
      </c>
      <c r="J503" s="306">
        <f t="shared" ca="1" si="217"/>
        <v>753.9362430858572</v>
      </c>
      <c r="K503" s="307">
        <f t="shared" ca="1" si="218"/>
        <v>237.01270239150983</v>
      </c>
      <c r="L503" s="304">
        <f t="shared" ca="1" si="203"/>
        <v>790.31315295479112</v>
      </c>
      <c r="M503" s="306">
        <f t="shared" ca="1" si="219"/>
        <v>-1.4508572905678216</v>
      </c>
      <c r="N503" s="304">
        <f t="shared" ca="1" si="220"/>
        <v>-83.127999425321917</v>
      </c>
      <c r="P503" s="310">
        <f t="shared" ca="1" si="221"/>
        <v>23</v>
      </c>
      <c r="Q503" s="304">
        <f t="shared" ca="1" si="222"/>
        <v>0</v>
      </c>
      <c r="R503" s="306">
        <f t="shared" ca="1" si="223"/>
        <v>0</v>
      </c>
      <c r="S503" s="307">
        <f t="shared" ca="1" si="224"/>
        <v>8.0499999999999989</v>
      </c>
      <c r="T503" s="304">
        <f t="shared" ca="1" si="204"/>
        <v>78.970499999999987</v>
      </c>
      <c r="U503" s="311">
        <f t="shared" ca="1" si="205"/>
        <v>0</v>
      </c>
      <c r="V503" s="306">
        <f t="shared" ca="1" si="206"/>
        <v>1.1963059862441767</v>
      </c>
      <c r="W503" s="304">
        <f t="shared" ca="1" si="207"/>
        <v>51.5715620121303</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3.3760477186147817</v>
      </c>
      <c r="AH503" s="304">
        <f t="shared" ca="1" si="231"/>
        <v>-6.3622921837497639</v>
      </c>
    </row>
    <row r="504" spans="1:34" x14ac:dyDescent="0.3">
      <c r="A504" s="347">
        <f t="shared" ca="1" si="209"/>
        <v>0.1</v>
      </c>
      <c r="B504" s="304">
        <f t="shared" ca="1" si="210"/>
        <v>32.000000000000185</v>
      </c>
      <c r="D504" s="306">
        <f t="shared" ca="1" si="211"/>
        <v>-0.76653715813294365</v>
      </c>
      <c r="E504" s="307">
        <f t="shared" ca="1" si="212"/>
        <v>-3.449618831081958</v>
      </c>
      <c r="F504" s="304">
        <f t="shared" ca="1" si="213"/>
        <v>3.5337585223885606</v>
      </c>
      <c r="G504" s="306">
        <f t="shared" ca="1" si="214"/>
        <v>14.016612918919106</v>
      </c>
      <c r="H504" s="307">
        <f t="shared" ca="1" si="215"/>
        <v>-117.28456065014733</v>
      </c>
      <c r="I504" s="304">
        <f t="shared" ca="1" si="216"/>
        <v>118.1191500334171</v>
      </c>
      <c r="J504" s="306">
        <f t="shared" ca="1" si="217"/>
        <v>755.34173706353977</v>
      </c>
      <c r="K504" s="307">
        <f t="shared" ca="1" si="218"/>
        <v>225.3014944206505</v>
      </c>
      <c r="L504" s="304">
        <f t="shared" ca="1" si="203"/>
        <v>788.22706318569396</v>
      </c>
      <c r="M504" s="306">
        <f t="shared" ca="1" si="219"/>
        <v>-1.451851018672359</v>
      </c>
      <c r="N504" s="304">
        <f t="shared" ca="1" si="220"/>
        <v>-83.184935851695442</v>
      </c>
      <c r="P504" s="310">
        <f t="shared" ca="1" si="221"/>
        <v>23</v>
      </c>
      <c r="Q504" s="304">
        <f t="shared" ca="1" si="222"/>
        <v>0</v>
      </c>
      <c r="R504" s="306">
        <f t="shared" ca="1" si="223"/>
        <v>0</v>
      </c>
      <c r="S504" s="307">
        <f t="shared" ca="1" si="224"/>
        <v>8.0499999999999989</v>
      </c>
      <c r="T504" s="304">
        <f t="shared" ca="1" si="204"/>
        <v>78.970499999999987</v>
      </c>
      <c r="U504" s="311">
        <f t="shared" ca="1" si="205"/>
        <v>0</v>
      </c>
      <c r="V504" s="306">
        <f t="shared" ca="1" si="206"/>
        <v>1.1977080132040125</v>
      </c>
      <c r="W504" s="304">
        <f t="shared" ca="1" si="207"/>
        <v>51.924684713342039</v>
      </c>
      <c r="Y504" s="314" t="str">
        <f t="shared" ca="1" si="225"/>
        <v/>
      </c>
      <c r="Z504" s="315" t="str">
        <f t="shared" ca="1" si="226"/>
        <v/>
      </c>
      <c r="AA504" s="316" t="str">
        <f t="shared" ca="1" si="227"/>
        <v/>
      </c>
      <c r="AC504" s="310">
        <f t="shared" ca="1" si="228"/>
        <v>32.000000000000185</v>
      </c>
      <c r="AD504" s="323">
        <f t="shared" ca="1" si="229"/>
        <v>755.34173706353977</v>
      </c>
      <c r="AE504" s="324" t="e">
        <f t="shared" ca="1" si="208"/>
        <v>#N/A</v>
      </c>
      <c r="AG504" s="306">
        <f t="shared" ca="1" si="230"/>
        <v>3.3331190751672031</v>
      </c>
      <c r="AH504" s="304">
        <f t="shared" ca="1" si="231"/>
        <v>-6.4064052188981746</v>
      </c>
    </row>
    <row r="505" spans="1:34" x14ac:dyDescent="0.3">
      <c r="A505" s="347">
        <f t="shared" ca="1" si="209"/>
        <v>0.1</v>
      </c>
      <c r="B505" s="304">
        <f t="shared" ca="1" si="210"/>
        <v>32.100000000000186</v>
      </c>
      <c r="D505" s="306">
        <f t="shared" ca="1" si="211"/>
        <v>-0.76542167219746948</v>
      </c>
      <c r="E505" s="307">
        <f t="shared" ca="1" si="212"/>
        <v>-3.405304011384219</v>
      </c>
      <c r="F505" s="304">
        <f t="shared" ca="1" si="213"/>
        <v>3.4902672886498283</v>
      </c>
      <c r="G505" s="306">
        <f t="shared" ca="1" si="214"/>
        <v>13.940070751699359</v>
      </c>
      <c r="H505" s="307">
        <f t="shared" ca="1" si="215"/>
        <v>-117.62509105128575</v>
      </c>
      <c r="I505" s="304">
        <f t="shared" ca="1" si="216"/>
        <v>118.44824868855447</v>
      </c>
      <c r="J505" s="306">
        <f t="shared" ca="1" si="217"/>
        <v>756.73957124707067</v>
      </c>
      <c r="K505" s="307">
        <f t="shared" ca="1" si="218"/>
        <v>213.55601183557886</v>
      </c>
      <c r="L505" s="304">
        <f t="shared" ca="1" si="203"/>
        <v>786.29571338162475</v>
      </c>
      <c r="M505" s="306">
        <f t="shared" ca="1" si="219"/>
        <v>-1.4528338142652448</v>
      </c>
      <c r="N505" s="304">
        <f t="shared" ca="1" si="220"/>
        <v>-83.241245891291868</v>
      </c>
      <c r="P505" s="310">
        <f t="shared" ca="1" si="221"/>
        <v>23</v>
      </c>
      <c r="Q505" s="304">
        <f t="shared" ca="1" si="222"/>
        <v>0</v>
      </c>
      <c r="R505" s="306">
        <f t="shared" ca="1" si="223"/>
        <v>0</v>
      </c>
      <c r="S505" s="307">
        <f t="shared" ca="1" si="224"/>
        <v>8.0499999999999989</v>
      </c>
      <c r="T505" s="304">
        <f t="shared" ca="1" si="204"/>
        <v>78.970499999999987</v>
      </c>
      <c r="U505" s="311">
        <f t="shared" ca="1" si="205"/>
        <v>0</v>
      </c>
      <c r="V505" s="306">
        <f t="shared" ca="1" si="206"/>
        <v>1.1991157751416519</v>
      </c>
      <c r="W505" s="304">
        <f t="shared" ca="1" si="207"/>
        <v>52.27580036523338</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3.2904145131969083</v>
      </c>
      <c r="AH505" s="304">
        <f t="shared" ca="1" si="231"/>
        <v>-6.4502713929617448</v>
      </c>
    </row>
    <row r="506" spans="1:34" x14ac:dyDescent="0.3">
      <c r="A506" s="347">
        <f t="shared" ca="1" si="209"/>
        <v>0.1</v>
      </c>
      <c r="B506" s="304">
        <f t="shared" ca="1" si="210"/>
        <v>32.200000000000188</v>
      </c>
      <c r="D506" s="306">
        <f t="shared" ca="1" si="211"/>
        <v>-0.76426002561509887</v>
      </c>
      <c r="E506" s="307">
        <f t="shared" ca="1" si="212"/>
        <v>-3.3612411162708629</v>
      </c>
      <c r="F506" s="304">
        <f t="shared" ca="1" si="213"/>
        <v>3.4470328151125846</v>
      </c>
      <c r="G506" s="306">
        <f t="shared" ca="1" si="214"/>
        <v>13.863644749137849</v>
      </c>
      <c r="H506" s="307">
        <f t="shared" ca="1" si="215"/>
        <v>-117.96121516291284</v>
      </c>
      <c r="I506" s="304">
        <f t="shared" ca="1" si="216"/>
        <v>118.77309850484374</v>
      </c>
      <c r="J506" s="306">
        <f t="shared" ca="1" si="217"/>
        <v>758.12975702211259</v>
      </c>
      <c r="K506" s="307">
        <f t="shared" ca="1" si="218"/>
        <v>201.77669652486892</v>
      </c>
      <c r="L506" s="304">
        <f t="shared" ca="1" si="203"/>
        <v>784.52186951218675</v>
      </c>
      <c r="M506" s="306">
        <f t="shared" ca="1" si="219"/>
        <v>-1.4538058613980345</v>
      </c>
      <c r="N506" s="304">
        <f t="shared" ca="1" si="220"/>
        <v>-83.296940089488501</v>
      </c>
      <c r="P506" s="310">
        <f t="shared" ca="1" si="221"/>
        <v>23</v>
      </c>
      <c r="Q506" s="304">
        <f t="shared" ca="1" si="222"/>
        <v>0</v>
      </c>
      <c r="R506" s="306">
        <f t="shared" ca="1" si="223"/>
        <v>0</v>
      </c>
      <c r="S506" s="307">
        <f t="shared" ca="1" si="224"/>
        <v>8.0499999999999989</v>
      </c>
      <c r="T506" s="304">
        <f t="shared" ca="1" si="204"/>
        <v>78.970499999999987</v>
      </c>
      <c r="U506" s="311">
        <f t="shared" ca="1" si="205"/>
        <v>0</v>
      </c>
      <c r="V506" s="306">
        <f t="shared" ca="1" si="206"/>
        <v>1.2005292361700559</v>
      </c>
      <c r="W506" s="304">
        <f t="shared" ca="1" si="207"/>
        <v>52.624889875649771</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3.2479370339064371</v>
      </c>
      <c r="AH506" s="304">
        <f t="shared" ca="1" si="231"/>
        <v>-6.493888244128371</v>
      </c>
    </row>
    <row r="507" spans="1:34" x14ac:dyDescent="0.3">
      <c r="A507" s="347">
        <f t="shared" ca="1" si="209"/>
        <v>0.1</v>
      </c>
      <c r="B507" s="304">
        <f t="shared" ca="1" si="210"/>
        <v>32.300000000000189</v>
      </c>
      <c r="D507" s="306">
        <f t="shared" ca="1" si="211"/>
        <v>-0.76305291285069532</v>
      </c>
      <c r="E507" s="307">
        <f t="shared" ca="1" si="212"/>
        <v>-3.317432535800819</v>
      </c>
      <c r="F507" s="304">
        <f t="shared" ca="1" si="213"/>
        <v>3.4040576342652868</v>
      </c>
      <c r="G507" s="306">
        <f t="shared" ca="1" si="214"/>
        <v>13.787339457852779</v>
      </c>
      <c r="H507" s="307">
        <f t="shared" ca="1" si="215"/>
        <v>-118.29295841649292</v>
      </c>
      <c r="I507" s="304">
        <f t="shared" ca="1" si="216"/>
        <v>119.09372250564758</v>
      </c>
      <c r="J507" s="306">
        <f t="shared" ca="1" si="217"/>
        <v>759.51230623246215</v>
      </c>
      <c r="K507" s="307">
        <f t="shared" ca="1" si="218"/>
        <v>189.96398784589863</v>
      </c>
      <c r="L507" s="304">
        <f t="shared" ca="1" si="203"/>
        <v>782.90820662250701</v>
      </c>
      <c r="M507" s="306">
        <f t="shared" ca="1" si="219"/>
        <v>-1.4547673398133341</v>
      </c>
      <c r="N507" s="304">
        <f t="shared" ca="1" si="220"/>
        <v>-83.352028744778096</v>
      </c>
      <c r="P507" s="310">
        <f t="shared" ca="1" si="221"/>
        <v>23</v>
      </c>
      <c r="Q507" s="304">
        <f t="shared" ca="1" si="222"/>
        <v>0</v>
      </c>
      <c r="R507" s="306">
        <f t="shared" ca="1" si="223"/>
        <v>0</v>
      </c>
      <c r="S507" s="307">
        <f t="shared" ca="1" si="224"/>
        <v>8.0499999999999989</v>
      </c>
      <c r="T507" s="304">
        <f t="shared" ca="1" si="204"/>
        <v>78.970499999999987</v>
      </c>
      <c r="U507" s="311">
        <f t="shared" ca="1" si="205"/>
        <v>0</v>
      </c>
      <c r="V507" s="306">
        <f t="shared" ca="1" si="206"/>
        <v>1.2019483605566299</v>
      </c>
      <c r="W507" s="304">
        <f t="shared" ca="1" si="207"/>
        <v>52.971934870803501</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3.2056895326340538</v>
      </c>
      <c r="AH507" s="304">
        <f t="shared" ca="1" si="231"/>
        <v>-6.5372534007018359</v>
      </c>
    </row>
    <row r="508" spans="1:34" x14ac:dyDescent="0.3">
      <c r="A508" s="347">
        <f t="shared" ca="1" si="209"/>
        <v>0.1</v>
      </c>
      <c r="B508" s="304">
        <f t="shared" ca="1" si="210"/>
        <v>32.40000000000019</v>
      </c>
      <c r="D508" s="306">
        <f t="shared" ca="1" si="211"/>
        <v>-0.76180102792300664</v>
      </c>
      <c r="E508" s="307">
        <f t="shared" ca="1" si="212"/>
        <v>-3.2738805700536249</v>
      </c>
      <c r="F508" s="304">
        <f t="shared" ca="1" si="213"/>
        <v>3.3613441943840261</v>
      </c>
      <c r="G508" s="306">
        <f t="shared" ca="1" si="214"/>
        <v>13.711159355060479</v>
      </c>
      <c r="H508" s="307">
        <f t="shared" ca="1" si="215"/>
        <v>-118.62034647349829</v>
      </c>
      <c r="I508" s="304">
        <f t="shared" ca="1" si="216"/>
        <v>119.41014399268029</v>
      </c>
      <c r="J508" s="306">
        <f t="shared" ca="1" si="217"/>
        <v>760.88723117310781</v>
      </c>
      <c r="K508" s="307">
        <f t="shared" ca="1" si="218"/>
        <v>178.11832260139906</v>
      </c>
      <c r="L508" s="304">
        <f t="shared" ca="1" si="203"/>
        <v>781.45730235798192</v>
      </c>
      <c r="M508" s="306">
        <f t="shared" ca="1" si="219"/>
        <v>-1.4557184250691841</v>
      </c>
      <c r="N508" s="304">
        <f t="shared" ca="1" si="220"/>
        <v>-83.406521915895425</v>
      </c>
      <c r="P508" s="310">
        <f t="shared" ca="1" si="221"/>
        <v>23</v>
      </c>
      <c r="Q508" s="304">
        <f t="shared" ca="1" si="222"/>
        <v>0</v>
      </c>
      <c r="R508" s="306">
        <f t="shared" ca="1" si="223"/>
        <v>0</v>
      </c>
      <c r="S508" s="307">
        <f t="shared" ca="1" si="224"/>
        <v>8.0499999999999989</v>
      </c>
      <c r="T508" s="304">
        <f t="shared" ca="1" si="204"/>
        <v>78.970499999999987</v>
      </c>
      <c r="U508" s="311">
        <f t="shared" ca="1" si="205"/>
        <v>0</v>
      </c>
      <c r="V508" s="306">
        <f t="shared" ca="1" si="206"/>
        <v>1.2033731127255491</v>
      </c>
      <c r="W508" s="304">
        <f t="shared" ca="1" si="207"/>
        <v>53.316917688053863</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3.1636748002795434</v>
      </c>
      <c r="AH508" s="304">
        <f t="shared" ca="1" si="231"/>
        <v>-6.580364580224038</v>
      </c>
    </row>
    <row r="509" spans="1:34" x14ac:dyDescent="0.3">
      <c r="A509" s="347">
        <f t="shared" ca="1" si="209"/>
        <v>0.1</v>
      </c>
      <c r="B509" s="304">
        <f t="shared" ca="1" si="210"/>
        <v>32.500000000000192</v>
      </c>
      <c r="D509" s="306">
        <f t="shared" ca="1" si="211"/>
        <v>-0.76050506419387076</v>
      </c>
      <c r="E509" s="307">
        <f t="shared" ca="1" si="212"/>
        <v>-3.2305874300314326</v>
      </c>
      <c r="F509" s="304">
        <f t="shared" ca="1" si="213"/>
        <v>3.3188948606036948</v>
      </c>
      <c r="G509" s="306">
        <f t="shared" ca="1" si="214"/>
        <v>13.635108848641092</v>
      </c>
      <c r="H509" s="307">
        <f t="shared" ca="1" si="215"/>
        <v>-118.94340521650143</v>
      </c>
      <c r="I509" s="304">
        <f t="shared" ca="1" si="216"/>
        <v>119.7223865357317</v>
      </c>
      <c r="J509" s="306">
        <f t="shared" ca="1" si="217"/>
        <v>762.25454458329284</v>
      </c>
      <c r="K509" s="307">
        <f t="shared" ca="1" si="218"/>
        <v>166.24013501689907</v>
      </c>
      <c r="L509" s="304">
        <f t="shared" ca="1" si="203"/>
        <v>780.17163062259567</v>
      </c>
      <c r="M509" s="306">
        <f t="shared" ca="1" si="219"/>
        <v>-1.4566592886592171</v>
      </c>
      <c r="N509" s="304">
        <f t="shared" ca="1" si="220"/>
        <v>-83.460429428701843</v>
      </c>
      <c r="P509" s="310">
        <f t="shared" ca="1" si="221"/>
        <v>23</v>
      </c>
      <c r="Q509" s="304">
        <f t="shared" ca="1" si="222"/>
        <v>0</v>
      </c>
      <c r="R509" s="306">
        <f t="shared" ca="1" si="223"/>
        <v>0</v>
      </c>
      <c r="S509" s="307">
        <f t="shared" ca="1" si="224"/>
        <v>8.0499999999999989</v>
      </c>
      <c r="T509" s="304">
        <f t="shared" ca="1" si="204"/>
        <v>78.970499999999987</v>
      </c>
      <c r="U509" s="311">
        <f t="shared" ca="1" si="205"/>
        <v>0</v>
      </c>
      <c r="V509" s="306">
        <f t="shared" ca="1" si="206"/>
        <v>1.2048034572600286</v>
      </c>
      <c r="W509" s="304">
        <f t="shared" ca="1" si="207"/>
        <v>53.659821368540811</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3.1218955247270745</v>
      </c>
      <c r="AH509" s="304">
        <f t="shared" ca="1" si="231"/>
        <v>-6.6232195885781202</v>
      </c>
    </row>
    <row r="510" spans="1:34" x14ac:dyDescent="0.3">
      <c r="A510" s="347">
        <f t="shared" ca="1" si="209"/>
        <v>0.1</v>
      </c>
      <c r="B510" s="304">
        <f t="shared" ca="1" si="210"/>
        <v>32.600000000000193</v>
      </c>
      <c r="D510" s="306">
        <f t="shared" ca="1" si="211"/>
        <v>-0.75916571416230128</v>
      </c>
      <c r="E510" s="307">
        <f t="shared" ca="1" si="212"/>
        <v>-3.1875552385795158</v>
      </c>
      <c r="F510" s="304">
        <f t="shared" ca="1" si="213"/>
        <v>3.2767119160150884</v>
      </c>
      <c r="G510" s="306">
        <f t="shared" ca="1" si="214"/>
        <v>13.559192277224863</v>
      </c>
      <c r="H510" s="307">
        <f t="shared" ca="1" si="215"/>
        <v>-119.26216074035938</v>
      </c>
      <c r="I510" s="304">
        <f t="shared" ca="1" si="216"/>
        <v>120.030473962532</v>
      </c>
      <c r="J510" s="306">
        <f t="shared" ca="1" si="217"/>
        <v>763.61425963958618</v>
      </c>
      <c r="K510" s="307">
        <f t="shared" ca="1" si="218"/>
        <v>154.32985671905604</v>
      </c>
      <c r="L510" s="304">
        <f t="shared" ca="1" si="203"/>
        <v>779.05355541184576</v>
      </c>
      <c r="M510" s="306">
        <f t="shared" ca="1" si="219"/>
        <v>-1.4575900981287508</v>
      </c>
      <c r="N510" s="304">
        <f t="shared" ca="1" si="220"/>
        <v>-83.513760882836934</v>
      </c>
      <c r="P510" s="310">
        <f t="shared" ca="1" si="221"/>
        <v>23</v>
      </c>
      <c r="Q510" s="304">
        <f t="shared" ca="1" si="222"/>
        <v>0</v>
      </c>
      <c r="R510" s="306">
        <f t="shared" ca="1" si="223"/>
        <v>0</v>
      </c>
      <c r="S510" s="307">
        <f t="shared" ca="1" si="224"/>
        <v>8.0499999999999989</v>
      </c>
      <c r="T510" s="304">
        <f t="shared" ca="1" si="204"/>
        <v>78.970499999999987</v>
      </c>
      <c r="U510" s="311">
        <f t="shared" ca="1" si="205"/>
        <v>0</v>
      </c>
      <c r="V510" s="306">
        <f t="shared" ca="1" si="206"/>
        <v>1.2062393589045266</v>
      </c>
      <c r="W510" s="304">
        <f t="shared" ca="1" si="207"/>
        <v>54.000629649679134</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3.0803542922652953</v>
      </c>
      <c r="AH510" s="304">
        <f t="shared" ca="1" si="231"/>
        <v>-6.6658163190733939</v>
      </c>
    </row>
    <row r="511" spans="1:34" x14ac:dyDescent="0.3">
      <c r="A511" s="347">
        <f t="shared" ca="1" si="209"/>
        <v>0.1</v>
      </c>
      <c r="B511" s="304">
        <f t="shared" ca="1" si="210"/>
        <v>32.700000000000195</v>
      </c>
      <c r="D511" s="306">
        <f t="shared" ca="1" si="211"/>
        <v>-0.75778366926345309</v>
      </c>
      <c r="E511" s="307">
        <f t="shared" ca="1" si="212"/>
        <v>-3.1447860313244114</v>
      </c>
      <c r="F511" s="304">
        <f t="shared" ca="1" si="213"/>
        <v>3.2347975627874344</v>
      </c>
      <c r="G511" s="306">
        <f t="shared" ca="1" si="214"/>
        <v>13.483413910298518</v>
      </c>
      <c r="H511" s="307">
        <f t="shared" ca="1" si="215"/>
        <v>-119.57663934349182</v>
      </c>
      <c r="I511" s="304">
        <f t="shared" ca="1" si="216"/>
        <v>120.33443034875741</v>
      </c>
      <c r="J511" s="306">
        <f t="shared" ca="1" si="217"/>
        <v>764.96638994896239</v>
      </c>
      <c r="K511" s="307">
        <f t="shared" ca="1" si="218"/>
        <v>142.38791671486348</v>
      </c>
      <c r="L511" s="304">
        <f t="shared" ca="1" si="203"/>
        <v>778.10532486158127</v>
      </c>
      <c r="M511" s="306">
        <f t="shared" ca="1" si="219"/>
        <v>-1.4585110171869786</v>
      </c>
      <c r="N511" s="304">
        <f t="shared" ca="1" si="220"/>
        <v>-83.566525658146546</v>
      </c>
      <c r="P511" s="310">
        <f t="shared" ca="1" si="221"/>
        <v>23</v>
      </c>
      <c r="Q511" s="304">
        <f t="shared" ca="1" si="222"/>
        <v>0</v>
      </c>
      <c r="R511" s="306">
        <f t="shared" ca="1" si="223"/>
        <v>0</v>
      </c>
      <c r="S511" s="307">
        <f t="shared" ca="1" si="224"/>
        <v>8.0499999999999989</v>
      </c>
      <c r="T511" s="304">
        <f t="shared" ca="1" si="204"/>
        <v>78.970499999999987</v>
      </c>
      <c r="U511" s="311">
        <f t="shared" ca="1" si="205"/>
        <v>0</v>
      </c>
      <c r="V511" s="306">
        <f t="shared" ca="1" si="206"/>
        <v>1.2076807825669009</v>
      </c>
      <c r="W511" s="304">
        <f t="shared" ca="1" si="207"/>
        <v>54.339326957521052</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3.039053589004669</v>
      </c>
      <c r="AH511" s="304">
        <f t="shared" ca="1" si="231"/>
        <v>-6.7081527515129364</v>
      </c>
    </row>
    <row r="512" spans="1:34" x14ac:dyDescent="0.3">
      <c r="A512" s="347">
        <f t="shared" ca="1" si="209"/>
        <v>0.1</v>
      </c>
      <c r="B512" s="304">
        <f t="shared" ca="1" si="210"/>
        <v>32.800000000000196</v>
      </c>
      <c r="D512" s="306">
        <f t="shared" ca="1" si="211"/>
        <v>-0.75635961967244814</v>
      </c>
      <c r="E512" s="307">
        <f t="shared" ca="1" si="212"/>
        <v>-3.1022817576286554</v>
      </c>
      <c r="F512" s="304">
        <f t="shared" ca="1" si="213"/>
        <v>3.1931539233157222</v>
      </c>
      <c r="G512" s="306">
        <f t="shared" ca="1" si="214"/>
        <v>13.407777948331272</v>
      </c>
      <c r="H512" s="307">
        <f t="shared" ca="1" si="215"/>
        <v>-119.88686751925468</v>
      </c>
      <c r="I512" s="304">
        <f t="shared" ca="1" si="216"/>
        <v>120.63428000817629</v>
      </c>
      <c r="J512" s="306">
        <f t="shared" ca="1" si="217"/>
        <v>766.31094954189393</v>
      </c>
      <c r="K512" s="307">
        <f t="shared" ca="1" si="218"/>
        <v>130.41474137172617</v>
      </c>
      <c r="L512" s="304">
        <f t="shared" ca="1" si="203"/>
        <v>777.32906555387046</v>
      </c>
      <c r="M512" s="306">
        <f t="shared" ca="1" si="219"/>
        <v>-1.4594222058154078</v>
      </c>
      <c r="N512" s="304">
        <f t="shared" ca="1" si="220"/>
        <v>-83.618732920895852</v>
      </c>
      <c r="P512" s="310">
        <f t="shared" ca="1" si="221"/>
        <v>23</v>
      </c>
      <c r="Q512" s="304">
        <f t="shared" ca="1" si="222"/>
        <v>0</v>
      </c>
      <c r="R512" s="306">
        <f t="shared" ca="1" si="223"/>
        <v>0</v>
      </c>
      <c r="S512" s="307">
        <f t="shared" ca="1" si="224"/>
        <v>8.0499999999999989</v>
      </c>
      <c r="T512" s="304">
        <f t="shared" ca="1" si="204"/>
        <v>78.970499999999987</v>
      </c>
      <c r="U512" s="311">
        <f t="shared" ca="1" si="205"/>
        <v>0</v>
      </c>
      <c r="V512" s="306">
        <f t="shared" ca="1" si="206"/>
        <v>1.2091276933204926</v>
      </c>
      <c r="W512" s="304">
        <f t="shared" ca="1" si="207"/>
        <v>54.675898398993162</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2.9979958022920199</v>
      </c>
      <c r="AH512" s="304">
        <f t="shared" ca="1" si="231"/>
        <v>-6.7502269512448523</v>
      </c>
    </row>
    <row r="513" spans="1:34" x14ac:dyDescent="0.3">
      <c r="A513" s="347">
        <f t="shared" ca="1" si="209"/>
        <v>0.1</v>
      </c>
      <c r="B513" s="304">
        <f t="shared" ca="1" si="210"/>
        <v>32.900000000000198</v>
      </c>
      <c r="D513" s="306">
        <f t="shared" ca="1" si="211"/>
        <v>-0.75489425411301259</v>
      </c>
      <c r="E513" s="307">
        <f t="shared" ca="1" si="212"/>
        <v>-3.0600442815614262</v>
      </c>
      <c r="F513" s="304">
        <f t="shared" ca="1" si="213"/>
        <v>3.1517830413925427</v>
      </c>
      <c r="G513" s="306">
        <f t="shared" ca="1" si="214"/>
        <v>13.332288522919971</v>
      </c>
      <c r="H513" s="307">
        <f t="shared" ca="1" si="215"/>
        <v>-120.19287194741082</v>
      </c>
      <c r="I513" s="304">
        <f t="shared" ca="1" si="216"/>
        <v>120.93004748293568</v>
      </c>
      <c r="J513" s="306">
        <f t="shared" ca="1" si="217"/>
        <v>767.64795286545655</v>
      </c>
      <c r="K513" s="307">
        <f t="shared" ca="1" si="218"/>
        <v>118.4107543983929</v>
      </c>
      <c r="L513" s="304">
        <f t="shared" ca="1" si="203"/>
        <v>776.72677712032214</v>
      </c>
      <c r="M513" s="306">
        <f t="shared" ca="1" si="219"/>
        <v>-1.4603238203726878</v>
      </c>
      <c r="N513" s="304">
        <f t="shared" ca="1" si="220"/>
        <v>-83.670391629775551</v>
      </c>
      <c r="P513" s="310">
        <f t="shared" ca="1" si="221"/>
        <v>23</v>
      </c>
      <c r="Q513" s="304">
        <f t="shared" ca="1" si="222"/>
        <v>0</v>
      </c>
      <c r="R513" s="306">
        <f t="shared" ca="1" si="223"/>
        <v>0</v>
      </c>
      <c r="S513" s="307">
        <f t="shared" ca="1" si="224"/>
        <v>8.0499999999999989</v>
      </c>
      <c r="T513" s="304">
        <f t="shared" ca="1" si="204"/>
        <v>78.970499999999987</v>
      </c>
      <c r="U513" s="311">
        <f t="shared" ca="1" si="205"/>
        <v>0</v>
      </c>
      <c r="V513" s="306">
        <f t="shared" ca="1" si="206"/>
        <v>1.2105800564061635</v>
      </c>
      <c r="W513" s="304">
        <f t="shared" ca="1" si="207"/>
        <v>55.01032975401592</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2.957183222122354</v>
      </c>
      <c r="AH513" s="304">
        <f t="shared" ca="1" si="231"/>
        <v>-6.7920370681979092</v>
      </c>
    </row>
    <row r="514" spans="1:34" x14ac:dyDescent="0.3">
      <c r="A514" s="347">
        <f t="shared" ca="1" si="209"/>
        <v>0.1</v>
      </c>
      <c r="B514" s="304">
        <f t="shared" ca="1" si="210"/>
        <v>33.000000000000199</v>
      </c>
      <c r="D514" s="306">
        <f t="shared" ca="1" si="211"/>
        <v>-0.75338825967095058</v>
      </c>
      <c r="E514" s="307">
        <f t="shared" ca="1" si="212"/>
        <v>-3.0180753828839997</v>
      </c>
      <c r="F514" s="304">
        <f t="shared" ca="1" si="213"/>
        <v>3.1106868834037966</v>
      </c>
      <c r="G514" s="306">
        <f t="shared" ca="1" si="214"/>
        <v>13.256949696952876</v>
      </c>
      <c r="H514" s="307">
        <f t="shared" ca="1" si="215"/>
        <v>-120.49467948569922</v>
      </c>
      <c r="I514" s="304">
        <f t="shared" ca="1" si="216"/>
        <v>121.22175753398778</v>
      </c>
      <c r="J514" s="306">
        <f t="shared" ca="1" si="217"/>
        <v>768.97741477645013</v>
      </c>
      <c r="K514" s="307">
        <f t="shared" ca="1" si="218"/>
        <v>106.37637682673738</v>
      </c>
      <c r="L514" s="304">
        <f t="shared" ca="1" si="203"/>
        <v>776.30032718211362</v>
      </c>
      <c r="M514" s="306">
        <f t="shared" ca="1" si="219"/>
        <v>-1.4612160136959695</v>
      </c>
      <c r="N514" s="304">
        <f t="shared" ca="1" si="220"/>
        <v>-83.72151054170935</v>
      </c>
      <c r="P514" s="310">
        <f t="shared" ca="1" si="221"/>
        <v>23</v>
      </c>
      <c r="Q514" s="304">
        <f t="shared" ca="1" si="222"/>
        <v>0</v>
      </c>
      <c r="R514" s="306">
        <f t="shared" ca="1" si="223"/>
        <v>0</v>
      </c>
      <c r="S514" s="307">
        <f t="shared" ca="1" si="224"/>
        <v>8.0499999999999989</v>
      </c>
      <c r="T514" s="304">
        <f t="shared" ca="1" si="204"/>
        <v>78.970499999999987</v>
      </c>
      <c r="U514" s="311">
        <f t="shared" ca="1" si="205"/>
        <v>0</v>
      </c>
      <c r="V514" s="306">
        <f t="shared" ca="1" si="206"/>
        <v>1.2120378372342675</v>
      </c>
      <c r="W514" s="304">
        <f t="shared" ca="1" si="207"/>
        <v>55.342607467511549</v>
      </c>
      <c r="Y514" s="314" t="str">
        <f t="shared" ca="1" si="225"/>
        <v/>
      </c>
      <c r="Z514" s="315" t="str">
        <f t="shared" ca="1" si="226"/>
        <v/>
      </c>
      <c r="AA514" s="316" t="str">
        <f t="shared" ca="1" si="227"/>
        <v/>
      </c>
      <c r="AC514" s="310">
        <f t="shared" ca="1" si="228"/>
        <v>33.000000000000199</v>
      </c>
      <c r="AD514" s="323">
        <f t="shared" ca="1" si="229"/>
        <v>768.97741477645013</v>
      </c>
      <c r="AE514" s="324" t="e">
        <f t="shared" ca="1" si="208"/>
        <v>#N/A</v>
      </c>
      <c r="AG514" s="306">
        <f t="shared" ca="1" si="230"/>
        <v>2.9166180425478272</v>
      </c>
      <c r="AH514" s="304">
        <f t="shared" ca="1" si="231"/>
        <v>-6.8335813359025996</v>
      </c>
    </row>
    <row r="515" spans="1:34" x14ac:dyDescent="0.3">
      <c r="A515" s="347">
        <f t="shared" ca="1" si="209"/>
        <v>0.1</v>
      </c>
      <c r="B515" s="304">
        <f t="shared" ca="1" si="210"/>
        <v>33.1000000000002</v>
      </c>
      <c r="D515" s="306">
        <f t="shared" ca="1" si="211"/>
        <v>-0.75184232161238385</v>
      </c>
      <c r="E515" s="307">
        <f t="shared" ca="1" si="212"/>
        <v>-2.9763767580493212</v>
      </c>
      <c r="F515" s="304">
        <f t="shared" ca="1" si="213"/>
        <v>3.0698673395480278</v>
      </c>
      <c r="G515" s="306">
        <f t="shared" ca="1" si="214"/>
        <v>13.181765464791638</v>
      </c>
      <c r="H515" s="307">
        <f t="shared" ca="1" si="215"/>
        <v>-120.79231716150416</v>
      </c>
      <c r="I515" s="304">
        <f t="shared" ca="1" si="216"/>
        <v>121.50943513165628</v>
      </c>
      <c r="J515" s="306">
        <f t="shared" ca="1" si="217"/>
        <v>770.29935053453733</v>
      </c>
      <c r="K515" s="307">
        <f t="shared" ca="1" si="218"/>
        <v>94.31202699437722</v>
      </c>
      <c r="L515" s="304">
        <f t="shared" ca="1" si="203"/>
        <v>776.05144666427759</v>
      </c>
      <c r="M515" s="306">
        <f t="shared" ca="1" si="219"/>
        <v>-1.4620989351989269</v>
      </c>
      <c r="N515" s="304">
        <f t="shared" ca="1" si="220"/>
        <v>-83.772098217470159</v>
      </c>
      <c r="P515" s="310">
        <f t="shared" ca="1" si="221"/>
        <v>23</v>
      </c>
      <c r="Q515" s="304">
        <f t="shared" ca="1" si="222"/>
        <v>0</v>
      </c>
      <c r="R515" s="306">
        <f t="shared" ca="1" si="223"/>
        <v>0</v>
      </c>
      <c r="S515" s="307">
        <f t="shared" ca="1" si="224"/>
        <v>8.0499999999999989</v>
      </c>
      <c r="T515" s="304">
        <f t="shared" ca="1" si="204"/>
        <v>78.970499999999987</v>
      </c>
      <c r="U515" s="311">
        <f t="shared" ca="1" si="205"/>
        <v>0</v>
      </c>
      <c r="V515" s="306">
        <f t="shared" ca="1" si="206"/>
        <v>1.213501001386571</v>
      </c>
      <c r="W515" s="304">
        <f t="shared" ca="1" si="207"/>
        <v>55.67271864130791</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2.87630236308381</v>
      </c>
      <c r="AH515" s="304">
        <f t="shared" ca="1" si="231"/>
        <v>-6.8748580704983295</v>
      </c>
    </row>
    <row r="516" spans="1:34" x14ac:dyDescent="0.3">
      <c r="A516" s="347">
        <f t="shared" ca="1" si="209"/>
        <v>0.1</v>
      </c>
      <c r="B516" s="304">
        <f t="shared" ca="1" si="210"/>
        <v>33.200000000000202</v>
      </c>
      <c r="D516" s="306">
        <f t="shared" ca="1" si="211"/>
        <v>-0.75025712320675708</v>
      </c>
      <c r="E516" s="307">
        <f t="shared" ca="1" si="212"/>
        <v>-2.9349500212147142</v>
      </c>
      <c r="F516" s="304">
        <f t="shared" ca="1" si="213"/>
        <v>3.0293262250788922</v>
      </c>
      <c r="G516" s="306">
        <f t="shared" ca="1" si="214"/>
        <v>13.106739752470963</v>
      </c>
      <c r="H516" s="307">
        <f t="shared" ca="1" si="215"/>
        <v>-121.08581216362563</v>
      </c>
      <c r="I516" s="304">
        <f t="shared" ca="1" si="216"/>
        <v>121.79310544634221</v>
      </c>
      <c r="J516" s="306">
        <f t="shared" ca="1" si="217"/>
        <v>771.61377579540044</v>
      </c>
      <c r="K516" s="307">
        <f t="shared" ca="1" si="218"/>
        <v>82.218120528120721</v>
      </c>
      <c r="L516" s="304">
        <f t="shared" ref="L516:L579" ca="1" si="232">SQRT(pos_x^2+pos_z^2)</f>
        <v>775.98172551962261</v>
      </c>
      <c r="M516" s="306">
        <f t="shared" ca="1" si="219"/>
        <v>-1.4629727309665661</v>
      </c>
      <c r="N516" s="304">
        <f t="shared" ca="1" si="220"/>
        <v>-83.822163027112282</v>
      </c>
      <c r="P516" s="310">
        <f t="shared" ca="1" si="221"/>
        <v>23</v>
      </c>
      <c r="Q516" s="304">
        <f t="shared" ca="1" si="222"/>
        <v>0</v>
      </c>
      <c r="R516" s="306">
        <f t="shared" ca="1" si="223"/>
        <v>0</v>
      </c>
      <c r="S516" s="307">
        <f t="shared" ca="1" si="224"/>
        <v>8.0499999999999989</v>
      </c>
      <c r="T516" s="304">
        <f t="shared" ref="T516:T579" ca="1" si="233">m*g</f>
        <v>78.970499999999987</v>
      </c>
      <c r="U516" s="311">
        <f t="shared" ref="U516:U579" ca="1" si="234">IF(pos_xz&lt;L_rampe,Poids*COS(Beta),0)</f>
        <v>0</v>
      </c>
      <c r="V516" s="306">
        <f t="shared" ref="V516:V579" ca="1" si="235">Rho_moyen*(20000-Alt_rampe-pos_z)/(20000+Alt_rampe+pos_z)</f>
        <v>1.2149695146181096</v>
      </c>
      <c r="W516" s="304">
        <f t="shared" ref="W516:W579" ca="1" si="236">1/2*Rho*Sref*Cx*vit_xz^2</f>
        <v>56.000651025944379</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2.836238190111918</v>
      </c>
      <c r="AH516" s="304">
        <f t="shared" ca="1" si="231"/>
        <v>-6.9158656697276912</v>
      </c>
    </row>
    <row r="517" spans="1:34" x14ac:dyDescent="0.3">
      <c r="A517" s="347">
        <f t="shared" ref="A517:A580" ca="1" si="238">IF(B516+0.01&lt;=T_ini+ROUNDUP(Temps_fin_propu,0), 0.01, IF(K516&gt;0, 0.1, 0.0001))</f>
        <v>0.1</v>
      </c>
      <c r="B517" s="304">
        <f t="shared" ref="B517:B580" ca="1" si="239">B516+pas</f>
        <v>33.300000000000203</v>
      </c>
      <c r="D517" s="306">
        <f t="shared" ref="D517:D580" ca="1" si="240">IF(AND(L516&lt;L_rampe,Poussee&lt;Poids*SIN(M516)),0,(-W516+Poussee)/m*COS(M516)-U516/m*SIN(M516))</f>
        <v>-0.74863334555457461</v>
      </c>
      <c r="E517" s="307">
        <f t="shared" ref="E517:E580" ca="1" si="241">IF(AND(L516&lt;L_rampe,Poussee&lt;Poids*SIN(M516)),0,(-W516+Poussee)/m*SIN(M516)+U516/m*COS(M516)-Poids/m)</f>
        <v>-2.8937967052669826</v>
      </c>
      <c r="F517" s="304">
        <f t="shared" ref="F517:F580" ca="1" si="242">SQRT(acc_x^2+acc_z^2)</f>
        <v>2.9890652815705243</v>
      </c>
      <c r="G517" s="306">
        <f t="shared" ref="G517:G580" ca="1" si="243">G516+acc_x*pas</f>
        <v>13.031876417915505</v>
      </c>
      <c r="H517" s="307">
        <f t="shared" ref="H517:H580" ca="1" si="244">H516+acc_z*pas</f>
        <v>-121.37519183415233</v>
      </c>
      <c r="I517" s="304">
        <f t="shared" ref="I517:I580" ca="1" si="245">SQRT(vit_x^2+vit_z^2)</f>
        <v>122.07279383936907</v>
      </c>
      <c r="J517" s="306">
        <f t="shared" ref="J517:J580" ca="1" si="246">J516+0.5*(vit_x+G516)*pas*(K516&gt;=0)</f>
        <v>772.92070660391971</v>
      </c>
      <c r="K517" s="307">
        <f t="shared" ref="K517:K580" ca="1" si="247">K516+0.5*(vit_z+H516)*pas</f>
        <v>70.095070328231827</v>
      </c>
      <c r="L517" s="304">
        <f t="shared" ca="1" si="232"/>
        <v>776.09260889498387</v>
      </c>
      <c r="M517" s="306">
        <f t="shared" ref="M517:M580" ca="1" si="248">IF(AND(L516&gt;L_rampe,G517&gt;0),ATAN2(G517,H517),$M$4)</f>
        <v>-1.4638375438469464</v>
      </c>
      <c r="N517" s="304">
        <f t="shared" ref="N517:N580" ca="1" si="249">DEGREES(Beta)</f>
        <v>-83.871713155226615</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8.0499999999999989</v>
      </c>
      <c r="T517" s="304">
        <f t="shared" ca="1" si="233"/>
        <v>78.970499999999987</v>
      </c>
      <c r="U517" s="311">
        <f t="shared" ca="1" si="234"/>
        <v>0</v>
      </c>
      <c r="V517" s="306">
        <f t="shared" ca="1" si="235"/>
        <v>1.2164433428589954</v>
      </c>
      <c r="W517" s="304">
        <f t="shared" ca="1" si="236"/>
        <v>56.326393012386887</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2.7964274382799204</v>
      </c>
      <c r="AH517" s="304">
        <f t="shared" ref="AH517:AH580" ca="1" si="260">IF(AND(L516&lt;L_rampe,Poussee&lt;Poids*SIN(M516)), g*SIN(M516), (-W516+Poussee)/m)</f>
        <v>-6.9566026119185569</v>
      </c>
    </row>
    <row r="518" spans="1:34" x14ac:dyDescent="0.3">
      <c r="A518" s="347">
        <f t="shared" ca="1" si="238"/>
        <v>0.1</v>
      </c>
      <c r="B518" s="304">
        <f t="shared" ca="1" si="239"/>
        <v>33.400000000000205</v>
      </c>
      <c r="D518" s="306">
        <f t="shared" ca="1" si="240"/>
        <v>-0.74697166741983112</v>
      </c>
      <c r="E518" s="307">
        <f t="shared" ca="1" si="241"/>
        <v>-2.8529182628589895</v>
      </c>
      <c r="F518" s="304">
        <f t="shared" ca="1" si="242"/>
        <v>2.9490861782054312</v>
      </c>
      <c r="G518" s="306">
        <f t="shared" ca="1" si="243"/>
        <v>12.957179251173523</v>
      </c>
      <c r="H518" s="307">
        <f t="shared" ca="1" si="244"/>
        <v>-121.66048366043823</v>
      </c>
      <c r="I518" s="304">
        <f t="shared" ca="1" si="245"/>
        <v>122.34852585396688</v>
      </c>
      <c r="J518" s="306">
        <f t="shared" ca="1" si="246"/>
        <v>774.22015938737411</v>
      </c>
      <c r="K518" s="307">
        <f t="shared" ca="1" si="247"/>
        <v>57.943286553502297</v>
      </c>
      <c r="L518" s="304">
        <f t="shared" ca="1" si="232"/>
        <v>776.38539376937808</v>
      </c>
      <c r="M518" s="306">
        <f t="shared" ca="1" si="248"/>
        <v>-1.4646935135399257</v>
      </c>
      <c r="N518" s="304">
        <f t="shared" ca="1" si="249"/>
        <v>-83.920756606025435</v>
      </c>
      <c r="P518" s="310">
        <f t="shared" ca="1" si="250"/>
        <v>23</v>
      </c>
      <c r="Q518" s="304">
        <f t="shared" ca="1" si="251"/>
        <v>0</v>
      </c>
      <c r="R518" s="306">
        <f t="shared" ca="1" si="252"/>
        <v>0</v>
      </c>
      <c r="S518" s="307">
        <f t="shared" ca="1" si="253"/>
        <v>8.0499999999999989</v>
      </c>
      <c r="T518" s="304">
        <f t="shared" ca="1" si="233"/>
        <v>78.970499999999987</v>
      </c>
      <c r="U518" s="311">
        <f t="shared" ca="1" si="234"/>
        <v>0</v>
      </c>
      <c r="V518" s="306">
        <f t="shared" ca="1" si="235"/>
        <v>1.2179224522161629</v>
      </c>
      <c r="W518" s="304">
        <f t="shared" ca="1" si="236"/>
        <v>56.649933623658079</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2.7568719318983197</v>
      </c>
      <c r="AH518" s="304">
        <f t="shared" ca="1" si="260"/>
        <v>-6.9970674549548937</v>
      </c>
    </row>
    <row r="519" spans="1:34" x14ac:dyDescent="0.3">
      <c r="A519" s="347">
        <f t="shared" ca="1" si="238"/>
        <v>0.1</v>
      </c>
      <c r="B519" s="304">
        <f t="shared" ca="1" si="239"/>
        <v>33.500000000000206</v>
      </c>
      <c r="D519" s="306">
        <f t="shared" ca="1" si="240"/>
        <v>-0.74527276506711015</v>
      </c>
      <c r="E519" s="307">
        <f t="shared" ca="1" si="241"/>
        <v>-2.8123160674569734</v>
      </c>
      <c r="F519" s="304">
        <f t="shared" ca="1" si="242"/>
        <v>2.9093905130847304</v>
      </c>
      <c r="G519" s="306">
        <f t="shared" ca="1" si="243"/>
        <v>12.882651974666812</v>
      </c>
      <c r="H519" s="307">
        <f t="shared" ca="1" si="244"/>
        <v>-121.94171526718392</v>
      </c>
      <c r="I519" s="304">
        <f t="shared" ca="1" si="245"/>
        <v>122.62032720639488</v>
      </c>
      <c r="J519" s="306">
        <f t="shared" ca="1" si="246"/>
        <v>775.51215094866609</v>
      </c>
      <c r="K519" s="307">
        <f t="shared" ca="1" si="247"/>
        <v>45.763176607121189</v>
      </c>
      <c r="L519" s="304">
        <f t="shared" ca="1" si="232"/>
        <v>776.86122609009203</v>
      </c>
      <c r="M519" s="306">
        <f t="shared" ca="1" si="248"/>
        <v>-1.4655407766830424</v>
      </c>
      <c r="N519" s="304">
        <f t="shared" ca="1" si="249"/>
        <v>-83.969301208263019</v>
      </c>
      <c r="P519" s="310">
        <f t="shared" ca="1" si="250"/>
        <v>23</v>
      </c>
      <c r="Q519" s="304">
        <f t="shared" ca="1" si="251"/>
        <v>0</v>
      </c>
      <c r="R519" s="306">
        <f t="shared" ca="1" si="252"/>
        <v>0</v>
      </c>
      <c r="S519" s="307">
        <f t="shared" ca="1" si="253"/>
        <v>8.0499999999999989</v>
      </c>
      <c r="T519" s="304">
        <f t="shared" ca="1" si="233"/>
        <v>78.970499999999987</v>
      </c>
      <c r="U519" s="311">
        <f t="shared" ca="1" si="234"/>
        <v>0</v>
      </c>
      <c r="V519" s="306">
        <f t="shared" ca="1" si="235"/>
        <v>1.2194068089750614</v>
      </c>
      <c r="W519" s="304">
        <f t="shared" ca="1" si="236"/>
        <v>56.97126250638933</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2.7175734063334804</v>
      </c>
      <c r="AH519" s="304">
        <f t="shared" ca="1" si="260"/>
        <v>-7.0372588352370293</v>
      </c>
    </row>
    <row r="520" spans="1:34" x14ac:dyDescent="0.3">
      <c r="A520" s="347">
        <f t="shared" ca="1" si="238"/>
        <v>0.1</v>
      </c>
      <c r="B520" s="304">
        <f t="shared" ca="1" si="239"/>
        <v>33.600000000000207</v>
      </c>
      <c r="D520" s="306">
        <f t="shared" ca="1" si="240"/>
        <v>-0.74353731210332497</v>
      </c>
      <c r="E520" s="307">
        <f t="shared" ca="1" si="241"/>
        <v>-2.7719914143977427</v>
      </c>
      <c r="F520" s="304">
        <f t="shared" ca="1" si="242"/>
        <v>2.8699798145604847</v>
      </c>
      <c r="G520" s="306">
        <f t="shared" ca="1" si="243"/>
        <v>12.80829824345648</v>
      </c>
      <c r="H520" s="307">
        <f t="shared" ca="1" si="244"/>
        <v>-122.2189144086237</v>
      </c>
      <c r="I520" s="304">
        <f t="shared" ca="1" si="245"/>
        <v>122.88822377720257</v>
      </c>
      <c r="J520" s="306">
        <f t="shared" ca="1" si="246"/>
        <v>776.79669845957221</v>
      </c>
      <c r="K520" s="307">
        <f t="shared" ca="1" si="247"/>
        <v>33.555145123330803</v>
      </c>
      <c r="L520" s="304">
        <f t="shared" ca="1" si="232"/>
        <v>777.52109842880748</v>
      </c>
      <c r="M520" s="306">
        <f t="shared" ca="1" si="248"/>
        <v>-1.4663794669346435</v>
      </c>
      <c r="N520" s="304">
        <f t="shared" ca="1" si="249"/>
        <v>-84.017354619998528</v>
      </c>
      <c r="P520" s="310">
        <f t="shared" ca="1" si="250"/>
        <v>23</v>
      </c>
      <c r="Q520" s="304">
        <f t="shared" ca="1" si="251"/>
        <v>0</v>
      </c>
      <c r="R520" s="306">
        <f t="shared" ca="1" si="252"/>
        <v>0</v>
      </c>
      <c r="S520" s="307">
        <f t="shared" ca="1" si="253"/>
        <v>8.0499999999999989</v>
      </c>
      <c r="T520" s="304">
        <f t="shared" ca="1" si="233"/>
        <v>78.970499999999987</v>
      </c>
      <c r="U520" s="311">
        <f t="shared" ca="1" si="234"/>
        <v>0</v>
      </c>
      <c r="V520" s="306">
        <f t="shared" ca="1" si="235"/>
        <v>1.2208963796012926</v>
      </c>
      <c r="W520" s="304">
        <f t="shared" ca="1" si="236"/>
        <v>57.29036992230062</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2.6785335093970666</v>
      </c>
      <c r="AH520" s="304">
        <f t="shared" ca="1" si="260"/>
        <v>-7.077175466632216</v>
      </c>
    </row>
    <row r="521" spans="1:34" x14ac:dyDescent="0.3">
      <c r="A521" s="347">
        <f t="shared" ca="1" si="238"/>
        <v>0.1</v>
      </c>
      <c r="B521" s="304">
        <f t="shared" ca="1" si="239"/>
        <v>33.700000000000209</v>
      </c>
      <c r="D521" s="306">
        <f t="shared" ca="1" si="240"/>
        <v>-0.74176597932403221</v>
      </c>
      <c r="E521" s="307">
        <f t="shared" ca="1" si="241"/>
        <v>-2.7319455219550095</v>
      </c>
      <c r="F521" s="304">
        <f t="shared" ca="1" si="242"/>
        <v>2.8308555425900086</v>
      </c>
      <c r="G521" s="306">
        <f t="shared" ca="1" si="243"/>
        <v>12.734121645524077</v>
      </c>
      <c r="H521" s="307">
        <f t="shared" ca="1" si="244"/>
        <v>-122.49210896081921</v>
      </c>
      <c r="I521" s="304">
        <f t="shared" ca="1" si="245"/>
        <v>123.15224160262862</v>
      </c>
      <c r="J521" s="306">
        <f t="shared" ca="1" si="246"/>
        <v>778.07381945402119</v>
      </c>
      <c r="K521" s="307">
        <f t="shared" ca="1" si="247"/>
        <v>21.319593954858657</v>
      </c>
      <c r="L521" s="304">
        <f t="shared" ca="1" si="232"/>
        <v>778.36584817563062</v>
      </c>
      <c r="M521" s="306">
        <f t="shared" ca="1" si="248"/>
        <v>-1.4672097150543542</v>
      </c>
      <c r="N521" s="304">
        <f t="shared" ca="1" si="249"/>
        <v>-84.064924333206619</v>
      </c>
      <c r="P521" s="310">
        <f t="shared" ca="1" si="250"/>
        <v>23</v>
      </c>
      <c r="Q521" s="304">
        <f t="shared" ca="1" si="251"/>
        <v>0</v>
      </c>
      <c r="R521" s="306">
        <f t="shared" ca="1" si="252"/>
        <v>0</v>
      </c>
      <c r="S521" s="307">
        <f t="shared" ca="1" si="253"/>
        <v>8.0499999999999989</v>
      </c>
      <c r="T521" s="304">
        <f t="shared" ca="1" si="233"/>
        <v>78.970499999999987</v>
      </c>
      <c r="U521" s="311">
        <f t="shared" ca="1" si="234"/>
        <v>0</v>
      </c>
      <c r="V521" s="306">
        <f t="shared" ca="1" si="235"/>
        <v>1.2223911307421926</v>
      </c>
      <c r="W521" s="304">
        <f t="shared" ca="1" si="236"/>
        <v>57.607246739614489</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2.639753802731664</v>
      </c>
      <c r="AH521" s="304">
        <f t="shared" ca="1" si="260"/>
        <v>-7.116816139416227</v>
      </c>
    </row>
    <row r="522" spans="1:34" x14ac:dyDescent="0.3">
      <c r="A522" s="347">
        <f t="shared" ca="1" si="238"/>
        <v>0.1</v>
      </c>
      <c r="B522" s="304">
        <f t="shared" ca="1" si="239"/>
        <v>33.80000000000021</v>
      </c>
      <c r="D522" s="306">
        <f t="shared" ca="1" si="240"/>
        <v>-0.73995943456433422</v>
      </c>
      <c r="E522" s="307">
        <f t="shared" ca="1" si="241"/>
        <v>-2.6921795324140483</v>
      </c>
      <c r="F522" s="304">
        <f t="shared" ca="1" si="242"/>
        <v>2.7920190901120097</v>
      </c>
      <c r="G522" s="306">
        <f t="shared" ca="1" si="243"/>
        <v>12.660125702067644</v>
      </c>
      <c r="H522" s="307">
        <f t="shared" ca="1" si="244"/>
        <v>-122.76132691406062</v>
      </c>
      <c r="I522" s="304">
        <f t="shared" ca="1" si="245"/>
        <v>123.41240686613732</v>
      </c>
      <c r="J522" s="306">
        <f t="shared" ca="1" si="246"/>
        <v>779.3435318214008</v>
      </c>
      <c r="K522" s="307">
        <f t="shared" ca="1" si="247"/>
        <v>9.0569221611146666</v>
      </c>
      <c r="L522" s="304">
        <f t="shared" ca="1" si="232"/>
        <v>779.39615628439378</v>
      </c>
      <c r="M522" s="306">
        <f t="shared" ca="1" si="248"/>
        <v>-1.4680316489809941</v>
      </c>
      <c r="N522" s="304">
        <f t="shared" ca="1" si="249"/>
        <v>-84.112017678241699</v>
      </c>
      <c r="P522" s="310">
        <f t="shared" ca="1" si="250"/>
        <v>23</v>
      </c>
      <c r="Q522" s="304">
        <f t="shared" ca="1" si="251"/>
        <v>0</v>
      </c>
      <c r="R522" s="306">
        <f t="shared" ca="1" si="252"/>
        <v>0</v>
      </c>
      <c r="S522" s="307">
        <f t="shared" ca="1" si="253"/>
        <v>8.0499999999999989</v>
      </c>
      <c r="T522" s="304">
        <f t="shared" ca="1" si="233"/>
        <v>78.970499999999987</v>
      </c>
      <c r="U522" s="311">
        <f t="shared" ca="1" si="234"/>
        <v>0</v>
      </c>
      <c r="V522" s="306">
        <f t="shared" ca="1" si="235"/>
        <v>1.2238910292283613</v>
      </c>
      <c r="W522" s="304">
        <f t="shared" ca="1" si="236"/>
        <v>57.921884424409988</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2.6012357631922773</v>
      </c>
      <c r="AH522" s="304">
        <f t="shared" ca="1" si="260"/>
        <v>-7.1561797192067695</v>
      </c>
    </row>
    <row r="523" spans="1:34" x14ac:dyDescent="0.3">
      <c r="A523" s="347">
        <f t="shared" ca="1" si="238"/>
        <v>0.1</v>
      </c>
      <c r="B523" s="304">
        <f t="shared" ca="1" si="239"/>
        <v>33.900000000000212</v>
      </c>
      <c r="D523" s="306">
        <f t="shared" ca="1" si="240"/>
        <v>-0.73811834255426967</v>
      </c>
      <c r="E523" s="307">
        <f t="shared" ca="1" si="241"/>
        <v>-2.6526945131539676</v>
      </c>
      <c r="F523" s="304">
        <f t="shared" ca="1" si="242"/>
        <v>2.7534717844445451</v>
      </c>
      <c r="G523" s="306">
        <f t="shared" ca="1" si="243"/>
        <v>12.586313867812217</v>
      </c>
      <c r="H523" s="307">
        <f t="shared" ca="1" si="244"/>
        <v>-123.02659636537601</v>
      </c>
      <c r="I523" s="304">
        <f t="shared" ca="1" si="245"/>
        <v>123.66874589009234</v>
      </c>
      <c r="J523" s="306">
        <f t="shared" ca="1" si="246"/>
        <v>780.60585379989482</v>
      </c>
      <c r="K523" s="307">
        <f t="shared" ca="1" si="247"/>
        <v>-3.232474002857165</v>
      </c>
      <c r="L523" s="304">
        <f t="shared" ca="1" si="232"/>
        <v>780.61254657790494</v>
      </c>
      <c r="M523" s="306">
        <f t="shared" ca="1" si="248"/>
        <v>-1.4688453939080279</v>
      </c>
      <c r="N523" s="304">
        <f t="shared" ca="1" si="249"/>
        <v>-84.158641828160924</v>
      </c>
      <c r="P523" s="310">
        <f t="shared" ca="1" si="250"/>
        <v>23</v>
      </c>
      <c r="Q523" s="304">
        <f t="shared" ca="1" si="251"/>
        <v>0</v>
      </c>
      <c r="R523" s="306">
        <f t="shared" ca="1" si="252"/>
        <v>0</v>
      </c>
      <c r="S523" s="307">
        <f t="shared" ca="1" si="253"/>
        <v>8.0499999999999989</v>
      </c>
      <c r="T523" s="304">
        <f t="shared" ca="1" si="233"/>
        <v>78.970499999999987</v>
      </c>
      <c r="U523" s="311">
        <f t="shared" ca="1" si="234"/>
        <v>0</v>
      </c>
      <c r="V523" s="306">
        <f t="shared" ca="1" si="235"/>
        <v>1.2253960420751357</v>
      </c>
      <c r="W523" s="304">
        <f t="shared" ca="1" si="236"/>
        <v>58.234275031922827</v>
      </c>
      <c r="Y523" s="314" t="str">
        <f t="shared" ca="1" si="254"/>
        <v>Impact balistique</v>
      </c>
      <c r="Z523" s="315" t="str">
        <f t="shared" ca="1" si="255"/>
        <v/>
      </c>
      <c r="AA523" s="316" t="str">
        <f t="shared" ca="1" si="256"/>
        <v/>
      </c>
      <c r="AC523" s="310" t="e">
        <f t="shared" ca="1" si="257"/>
        <v>#N/A</v>
      </c>
      <c r="AD523" s="323" t="e">
        <f t="shared" ca="1" si="258"/>
        <v>#N/A</v>
      </c>
      <c r="AE523" s="324" t="e">
        <f t="shared" ca="1" si="237"/>
        <v>#N/A</v>
      </c>
      <c r="AG523" s="306">
        <f t="shared" ca="1" si="259"/>
        <v>2.5629807842235639</v>
      </c>
      <c r="AH523" s="304">
        <f t="shared" ca="1" si="260"/>
        <v>-7.1952651458894401</v>
      </c>
    </row>
    <row r="524" spans="1:34" x14ac:dyDescent="0.3">
      <c r="A524" s="347">
        <f t="shared" ca="1" si="238"/>
        <v>1E-4</v>
      </c>
      <c r="B524" s="304">
        <f t="shared" ca="1" si="239"/>
        <v>33.900100000000215</v>
      </c>
      <c r="D524" s="306">
        <f t="shared" ca="1" si="240"/>
        <v>-0.73624336477870733</v>
      </c>
      <c r="E524" s="307">
        <f t="shared" ca="1" si="241"/>
        <v>-2.6134914577367994</v>
      </c>
      <c r="F524" s="304">
        <f t="shared" ca="1" si="242"/>
        <v>2.71521488870474</v>
      </c>
      <c r="G524" s="306">
        <f t="shared" ca="1" si="243"/>
        <v>12.586240243475739</v>
      </c>
      <c r="H524" s="307">
        <f t="shared" ca="1" si="244"/>
        <v>-123.02685771452178</v>
      </c>
      <c r="I524" s="304">
        <f t="shared" ca="1" si="245"/>
        <v>123.66899838915037</v>
      </c>
      <c r="J524" s="306">
        <f t="shared" ca="1" si="246"/>
        <v>780.60585379989482</v>
      </c>
      <c r="K524" s="307">
        <f t="shared" ca="1" si="247"/>
        <v>-3.2447766755611598</v>
      </c>
      <c r="L524" s="304">
        <f t="shared" ca="1" si="232"/>
        <v>780.61259761954716</v>
      </c>
      <c r="M524" s="306">
        <f t="shared" ca="1" si="248"/>
        <v>-1.4688462012299861</v>
      </c>
      <c r="N524" s="304">
        <f t="shared" ca="1" si="249"/>
        <v>-84.158688084301829</v>
      </c>
      <c r="P524" s="310">
        <f t="shared" ca="1" si="250"/>
        <v>23</v>
      </c>
      <c r="Q524" s="304">
        <f t="shared" ca="1" si="251"/>
        <v>0</v>
      </c>
      <c r="R524" s="306">
        <f t="shared" ca="1" si="252"/>
        <v>0</v>
      </c>
      <c r="S524" s="307">
        <f t="shared" ca="1" si="253"/>
        <v>8.0499999999999989</v>
      </c>
      <c r="T524" s="304">
        <f t="shared" ca="1" si="233"/>
        <v>78.970499999999987</v>
      </c>
      <c r="U524" s="311">
        <f t="shared" ca="1" si="234"/>
        <v>0</v>
      </c>
      <c r="V524" s="306">
        <f t="shared" ca="1" si="235"/>
        <v>1.2253975496407463</v>
      </c>
      <c r="W524" s="304">
        <f t="shared" ca="1" si="236"/>
        <v>58.234584474378266</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2.5249901772324925</v>
      </c>
      <c r="AH524" s="304">
        <f t="shared" ca="1" si="260"/>
        <v>-7.2340714325369984</v>
      </c>
    </row>
    <row r="525" spans="1:34" x14ac:dyDescent="0.3">
      <c r="A525" s="347">
        <f t="shared" ca="1" si="238"/>
        <v>1E-4</v>
      </c>
      <c r="B525" s="304">
        <f t="shared" ca="1" si="239"/>
        <v>33.900200000000218</v>
      </c>
      <c r="D525" s="306">
        <f t="shared" ca="1" si="240"/>
        <v>-0.73624146706237337</v>
      </c>
      <c r="E525" s="307">
        <f t="shared" ca="1" si="241"/>
        <v>-2.6134526228938331</v>
      </c>
      <c r="F525" s="304">
        <f t="shared" ca="1" si="242"/>
        <v>2.7151769942183899</v>
      </c>
      <c r="G525" s="306">
        <f t="shared" ca="1" si="243"/>
        <v>12.586166619329033</v>
      </c>
      <c r="H525" s="307">
        <f t="shared" ca="1" si="244"/>
        <v>-123.02711905978407</v>
      </c>
      <c r="I525" s="304">
        <f t="shared" ca="1" si="245"/>
        <v>123.66925088444499</v>
      </c>
      <c r="J525" s="306">
        <f t="shared" ca="1" si="246"/>
        <v>780.60585379989482</v>
      </c>
      <c r="K525" s="307">
        <f t="shared" ca="1" si="247"/>
        <v>-3.2570793743998752</v>
      </c>
      <c r="L525" s="304">
        <f t="shared" ca="1" si="232"/>
        <v>780.61264885518847</v>
      </c>
      <c r="M525" s="306">
        <f t="shared" ca="1" si="248"/>
        <v>-1.4688470085439251</v>
      </c>
      <c r="N525" s="304">
        <f t="shared" ca="1" si="249"/>
        <v>-84.158734339983283</v>
      </c>
      <c r="P525" s="310">
        <f t="shared" ca="1" si="250"/>
        <v>23</v>
      </c>
      <c r="Q525" s="304">
        <f t="shared" ca="1" si="251"/>
        <v>0</v>
      </c>
      <c r="R525" s="306">
        <f t="shared" ca="1" si="252"/>
        <v>0</v>
      </c>
      <c r="S525" s="307">
        <f t="shared" ca="1" si="253"/>
        <v>8.0499999999999989</v>
      </c>
      <c r="T525" s="304">
        <f t="shared" ca="1" si="233"/>
        <v>78.970499999999987</v>
      </c>
      <c r="U525" s="311">
        <f t="shared" ca="1" si="234"/>
        <v>0</v>
      </c>
      <c r="V525" s="306">
        <f t="shared" ca="1" si="235"/>
        <v>1.2253990572114148</v>
      </c>
      <c r="W525" s="304">
        <f t="shared" ca="1" si="236"/>
        <v>58.234893914600363</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2.5249525432086131</v>
      </c>
      <c r="AH525" s="304">
        <f t="shared" ca="1" si="260"/>
        <v>-7.2341098725935744</v>
      </c>
    </row>
    <row r="526" spans="1:34" x14ac:dyDescent="0.3">
      <c r="A526" s="347">
        <f t="shared" ca="1" si="238"/>
        <v>1E-4</v>
      </c>
      <c r="B526" s="304">
        <f t="shared" ca="1" si="239"/>
        <v>33.900300000000222</v>
      </c>
      <c r="D526" s="306">
        <f t="shared" ca="1" si="240"/>
        <v>-0.73623956931328993</v>
      </c>
      <c r="E526" s="307">
        <f t="shared" ca="1" si="241"/>
        <v>-2.6134137883311368</v>
      </c>
      <c r="F526" s="304">
        <f t="shared" ca="1" si="242"/>
        <v>2.71513910002083</v>
      </c>
      <c r="G526" s="306">
        <f t="shared" ca="1" si="243"/>
        <v>12.586092995372102</v>
      </c>
      <c r="H526" s="307">
        <f t="shared" ca="1" si="244"/>
        <v>-123.0273804011629</v>
      </c>
      <c r="I526" s="304">
        <f t="shared" ca="1" si="245"/>
        <v>123.66950337597622</v>
      </c>
      <c r="J526" s="306">
        <f t="shared" ca="1" si="246"/>
        <v>780.60585379989482</v>
      </c>
      <c r="K526" s="307">
        <f t="shared" ca="1" si="247"/>
        <v>-3.2693820993729226</v>
      </c>
      <c r="L526" s="304">
        <f t="shared" ca="1" si="232"/>
        <v>780.61270028483045</v>
      </c>
      <c r="M526" s="306">
        <f t="shared" ca="1" si="248"/>
        <v>-1.4688478158498453</v>
      </c>
      <c r="N526" s="304">
        <f t="shared" ca="1" si="249"/>
        <v>-84.158780595205286</v>
      </c>
      <c r="P526" s="310">
        <f t="shared" ca="1" si="250"/>
        <v>23</v>
      </c>
      <c r="Q526" s="304">
        <f t="shared" ca="1" si="251"/>
        <v>0</v>
      </c>
      <c r="R526" s="306">
        <f t="shared" ca="1" si="252"/>
        <v>0</v>
      </c>
      <c r="S526" s="307">
        <f t="shared" ca="1" si="253"/>
        <v>8.0499999999999989</v>
      </c>
      <c r="T526" s="304">
        <f t="shared" ca="1" si="233"/>
        <v>78.970499999999987</v>
      </c>
      <c r="U526" s="311">
        <f t="shared" ca="1" si="234"/>
        <v>0</v>
      </c>
      <c r="V526" s="306">
        <f t="shared" ca="1" si="235"/>
        <v>1.2254005647871407</v>
      </c>
      <c r="W526" s="304">
        <f t="shared" ca="1" si="236"/>
        <v>58.235203352589117</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2.5249149094478014</v>
      </c>
      <c r="AH526" s="304">
        <f t="shared" ca="1" si="260"/>
        <v>-7.2341483123727173</v>
      </c>
    </row>
    <row r="527" spans="1:34" x14ac:dyDescent="0.3">
      <c r="A527" s="347">
        <f t="shared" ca="1" si="238"/>
        <v>1E-4</v>
      </c>
      <c r="B527" s="304">
        <f t="shared" ca="1" si="239"/>
        <v>33.900400000000225</v>
      </c>
      <c r="D527" s="306">
        <f t="shared" ca="1" si="240"/>
        <v>-0.73623767153145714</v>
      </c>
      <c r="E527" s="307">
        <f t="shared" ca="1" si="241"/>
        <v>-2.6133749540487115</v>
      </c>
      <c r="F527" s="304">
        <f t="shared" ca="1" si="242"/>
        <v>2.7151012061120605</v>
      </c>
      <c r="G527" s="306">
        <f t="shared" ca="1" si="243"/>
        <v>12.586019371604948</v>
      </c>
      <c r="H527" s="307">
        <f t="shared" ca="1" si="244"/>
        <v>-123.0276417386583</v>
      </c>
      <c r="I527" s="304">
        <f t="shared" ca="1" si="245"/>
        <v>123.66975586374411</v>
      </c>
      <c r="J527" s="306">
        <f t="shared" ca="1" si="246"/>
        <v>780.60585379989482</v>
      </c>
      <c r="K527" s="307">
        <f t="shared" ca="1" si="247"/>
        <v>-3.2816848504799134</v>
      </c>
      <c r="L527" s="304">
        <f t="shared" ca="1" si="232"/>
        <v>780.61275190847391</v>
      </c>
      <c r="M527" s="306">
        <f t="shared" ca="1" si="248"/>
        <v>-1.4688486231477467</v>
      </c>
      <c r="N527" s="304">
        <f t="shared" ca="1" si="249"/>
        <v>-84.158826849967838</v>
      </c>
      <c r="P527" s="310">
        <f t="shared" ca="1" si="250"/>
        <v>23</v>
      </c>
      <c r="Q527" s="304">
        <f t="shared" ca="1" si="251"/>
        <v>0</v>
      </c>
      <c r="R527" s="306">
        <f t="shared" ca="1" si="252"/>
        <v>0</v>
      </c>
      <c r="S527" s="307">
        <f t="shared" ca="1" si="253"/>
        <v>8.0499999999999989</v>
      </c>
      <c r="T527" s="304">
        <f t="shared" ca="1" si="233"/>
        <v>78.970499999999987</v>
      </c>
      <c r="U527" s="311">
        <f t="shared" ca="1" si="234"/>
        <v>0</v>
      </c>
      <c r="V527" s="306">
        <f t="shared" ca="1" si="235"/>
        <v>1.225402072367924</v>
      </c>
      <c r="W527" s="304">
        <f t="shared" ca="1" si="236"/>
        <v>58.235512788344536</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2.5248772759500575</v>
      </c>
      <c r="AH527" s="304">
        <f t="shared" ca="1" si="260"/>
        <v>-7.2341867518744252</v>
      </c>
    </row>
    <row r="528" spans="1:34" x14ac:dyDescent="0.3">
      <c r="A528" s="347">
        <f t="shared" ca="1" si="238"/>
        <v>1E-4</v>
      </c>
      <c r="B528" s="304">
        <f t="shared" ca="1" si="239"/>
        <v>33.900500000000228</v>
      </c>
      <c r="D528" s="306">
        <f t="shared" ca="1" si="240"/>
        <v>-0.73623577371687499</v>
      </c>
      <c r="E528" s="307">
        <f t="shared" ca="1" si="241"/>
        <v>-2.613336120046557</v>
      </c>
      <c r="F528" s="304">
        <f t="shared" ca="1" si="242"/>
        <v>2.7150633124920822</v>
      </c>
      <c r="G528" s="306">
        <f t="shared" ca="1" si="243"/>
        <v>12.585945748027576</v>
      </c>
      <c r="H528" s="307">
        <f t="shared" ca="1" si="244"/>
        <v>-123.02790307227031</v>
      </c>
      <c r="I528" s="304">
        <f t="shared" ca="1" si="245"/>
        <v>123.67000834774869</v>
      </c>
      <c r="J528" s="306">
        <f t="shared" ca="1" si="246"/>
        <v>780.60585379989482</v>
      </c>
      <c r="K528" s="307">
        <f t="shared" ca="1" si="247"/>
        <v>-3.2939876277204601</v>
      </c>
      <c r="L528" s="304">
        <f t="shared" ca="1" si="232"/>
        <v>780.61280372612021</v>
      </c>
      <c r="M528" s="306">
        <f t="shared" ca="1" si="248"/>
        <v>-1.4688494304376292</v>
      </c>
      <c r="N528" s="304">
        <f t="shared" ca="1" si="249"/>
        <v>-84.158873104270953</v>
      </c>
      <c r="P528" s="310">
        <f t="shared" ca="1" si="250"/>
        <v>23</v>
      </c>
      <c r="Q528" s="304">
        <f t="shared" ca="1" si="251"/>
        <v>0</v>
      </c>
      <c r="R528" s="306">
        <f t="shared" ca="1" si="252"/>
        <v>0</v>
      </c>
      <c r="S528" s="307">
        <f t="shared" ca="1" si="253"/>
        <v>8.0499999999999989</v>
      </c>
      <c r="T528" s="304">
        <f t="shared" ca="1" si="233"/>
        <v>78.970499999999987</v>
      </c>
      <c r="U528" s="311">
        <f t="shared" ca="1" si="234"/>
        <v>0</v>
      </c>
      <c r="V528" s="306">
        <f t="shared" ca="1" si="235"/>
        <v>1.2254035799537644</v>
      </c>
      <c r="W528" s="304">
        <f t="shared" ca="1" si="236"/>
        <v>58.235822221866606</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2.5248396427153805</v>
      </c>
      <c r="AH528" s="304">
        <f t="shared" ca="1" si="260"/>
        <v>-7.2342251910987008</v>
      </c>
    </row>
    <row r="529" spans="1:34" x14ac:dyDescent="0.3">
      <c r="A529" s="347">
        <f t="shared" ca="1" si="238"/>
        <v>1E-4</v>
      </c>
      <c r="B529" s="304">
        <f t="shared" ca="1" si="239"/>
        <v>33.900600000000232</v>
      </c>
      <c r="D529" s="306">
        <f t="shared" ca="1" si="240"/>
        <v>-0.73623387586954681</v>
      </c>
      <c r="E529" s="307">
        <f t="shared" ca="1" si="241"/>
        <v>-2.6132972863246735</v>
      </c>
      <c r="F529" s="304">
        <f t="shared" ca="1" si="242"/>
        <v>2.7150254191608956</v>
      </c>
      <c r="G529" s="306">
        <f t="shared" ca="1" si="243"/>
        <v>12.585872124639989</v>
      </c>
      <c r="H529" s="307">
        <f t="shared" ca="1" si="244"/>
        <v>-123.02816440199894</v>
      </c>
      <c r="I529" s="304">
        <f t="shared" ca="1" si="245"/>
        <v>123.67026082798996</v>
      </c>
      <c r="J529" s="306">
        <f t="shared" ca="1" si="246"/>
        <v>780.60585379989482</v>
      </c>
      <c r="K529" s="307">
        <f t="shared" ca="1" si="247"/>
        <v>-3.3062904310941734</v>
      </c>
      <c r="L529" s="304">
        <f t="shared" ca="1" si="232"/>
        <v>780.61285573777059</v>
      </c>
      <c r="M529" s="306">
        <f t="shared" ca="1" si="248"/>
        <v>-1.4688502377194932</v>
      </c>
      <c r="N529" s="304">
        <f t="shared" ca="1" si="249"/>
        <v>-84.158919358114645</v>
      </c>
      <c r="P529" s="310">
        <f t="shared" ca="1" si="250"/>
        <v>23</v>
      </c>
      <c r="Q529" s="304">
        <f t="shared" ca="1" si="251"/>
        <v>0</v>
      </c>
      <c r="R529" s="306">
        <f t="shared" ca="1" si="252"/>
        <v>0</v>
      </c>
      <c r="S529" s="307">
        <f t="shared" ca="1" si="253"/>
        <v>8.0499999999999989</v>
      </c>
      <c r="T529" s="304">
        <f t="shared" ca="1" si="233"/>
        <v>78.970499999999987</v>
      </c>
      <c r="U529" s="311">
        <f t="shared" ca="1" si="234"/>
        <v>0</v>
      </c>
      <c r="V529" s="306">
        <f t="shared" ca="1" si="235"/>
        <v>1.2254050875446627</v>
      </c>
      <c r="W529" s="304">
        <f t="shared" ca="1" si="236"/>
        <v>58.236131653155326</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2.5248020097437687</v>
      </c>
      <c r="AH529" s="304">
        <f t="shared" ca="1" si="260"/>
        <v>-7.2342636300455423</v>
      </c>
    </row>
    <row r="530" spans="1:34" x14ac:dyDescent="0.3">
      <c r="A530" s="347">
        <f t="shared" ca="1" si="238"/>
        <v>1E-4</v>
      </c>
      <c r="B530" s="304">
        <f t="shared" ca="1" si="239"/>
        <v>33.900700000000235</v>
      </c>
      <c r="D530" s="306">
        <f t="shared" ca="1" si="240"/>
        <v>-0.7362319779894706</v>
      </c>
      <c r="E530" s="307">
        <f t="shared" ca="1" si="241"/>
        <v>-2.6132584528830627</v>
      </c>
      <c r="F530" s="304">
        <f t="shared" ca="1" si="242"/>
        <v>2.7149875261185024</v>
      </c>
      <c r="G530" s="306">
        <f t="shared" ca="1" si="243"/>
        <v>12.58579850144219</v>
      </c>
      <c r="H530" s="307">
        <f t="shared" ca="1" si="244"/>
        <v>-123.02842572784422</v>
      </c>
      <c r="I530" s="304">
        <f t="shared" ca="1" si="245"/>
        <v>123.67051330446796</v>
      </c>
      <c r="J530" s="306">
        <f t="shared" ca="1" si="246"/>
        <v>780.60585379989482</v>
      </c>
      <c r="K530" s="307">
        <f t="shared" ca="1" si="247"/>
        <v>-3.3185932606006654</v>
      </c>
      <c r="L530" s="304">
        <f t="shared" ca="1" si="232"/>
        <v>780.61290794342619</v>
      </c>
      <c r="M530" s="306">
        <f t="shared" ca="1" si="248"/>
        <v>-1.4688510449933385</v>
      </c>
      <c r="N530" s="304">
        <f t="shared" ca="1" si="249"/>
        <v>-84.158965611498886</v>
      </c>
      <c r="P530" s="310">
        <f t="shared" ca="1" si="250"/>
        <v>23</v>
      </c>
      <c r="Q530" s="304">
        <f t="shared" ca="1" si="251"/>
        <v>0</v>
      </c>
      <c r="R530" s="306">
        <f t="shared" ca="1" si="252"/>
        <v>0</v>
      </c>
      <c r="S530" s="307">
        <f t="shared" ca="1" si="253"/>
        <v>8.0499999999999989</v>
      </c>
      <c r="T530" s="304">
        <f t="shared" ca="1" si="233"/>
        <v>78.970499999999987</v>
      </c>
      <c r="U530" s="311">
        <f t="shared" ca="1" si="234"/>
        <v>0</v>
      </c>
      <c r="V530" s="306">
        <f t="shared" ca="1" si="235"/>
        <v>1.2254065951406183</v>
      </c>
      <c r="W530" s="304">
        <f t="shared" ca="1" si="236"/>
        <v>58.236441082210675</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2.5247643770352308</v>
      </c>
      <c r="AH530" s="304">
        <f t="shared" ca="1" si="260"/>
        <v>-7.234302068714948</v>
      </c>
    </row>
    <row r="531" spans="1:34" x14ac:dyDescent="0.3">
      <c r="A531" s="347">
        <f t="shared" ca="1" si="238"/>
        <v>1E-4</v>
      </c>
      <c r="B531" s="304">
        <f t="shared" ca="1" si="239"/>
        <v>33.900800000000238</v>
      </c>
      <c r="D531" s="306">
        <f t="shared" ca="1" si="240"/>
        <v>-0.73623008007664958</v>
      </c>
      <c r="E531" s="307">
        <f t="shared" ca="1" si="241"/>
        <v>-2.6132196197217272</v>
      </c>
      <c r="F531" s="304">
        <f t="shared" ca="1" si="242"/>
        <v>2.7149496333649061</v>
      </c>
      <c r="G531" s="306">
        <f t="shared" ca="1" si="243"/>
        <v>12.585724878434181</v>
      </c>
      <c r="H531" s="307">
        <f t="shared" ca="1" si="244"/>
        <v>-123.02868704980619</v>
      </c>
      <c r="I531" s="304">
        <f t="shared" ca="1" si="245"/>
        <v>123.67076577718271</v>
      </c>
      <c r="J531" s="306">
        <f t="shared" ca="1" si="246"/>
        <v>780.60585379989482</v>
      </c>
      <c r="K531" s="307">
        <f t="shared" ca="1" si="247"/>
        <v>-3.3308961162395478</v>
      </c>
      <c r="L531" s="304">
        <f t="shared" ca="1" si="232"/>
        <v>780.61296034308828</v>
      </c>
      <c r="M531" s="306">
        <f t="shared" ca="1" si="248"/>
        <v>-1.4688518522591656</v>
      </c>
      <c r="N531" s="304">
        <f t="shared" ca="1" si="249"/>
        <v>-84.159011864423718</v>
      </c>
      <c r="P531" s="310">
        <f t="shared" ca="1" si="250"/>
        <v>23</v>
      </c>
      <c r="Q531" s="304">
        <f t="shared" ca="1" si="251"/>
        <v>0</v>
      </c>
      <c r="R531" s="306">
        <f t="shared" ca="1" si="252"/>
        <v>0</v>
      </c>
      <c r="S531" s="307">
        <f t="shared" ca="1" si="253"/>
        <v>8.0499999999999989</v>
      </c>
      <c r="T531" s="304">
        <f t="shared" ca="1" si="233"/>
        <v>78.970499999999987</v>
      </c>
      <c r="U531" s="311">
        <f t="shared" ca="1" si="234"/>
        <v>0</v>
      </c>
      <c r="V531" s="306">
        <f t="shared" ca="1" si="235"/>
        <v>1.2254081027416313</v>
      </c>
      <c r="W531" s="304">
        <f t="shared" ca="1" si="236"/>
        <v>58.236750509032653</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2.5247267445897625</v>
      </c>
      <c r="AH531" s="304">
        <f t="shared" ca="1" si="260"/>
        <v>-7.2343405071069169</v>
      </c>
    </row>
    <row r="532" spans="1:34" x14ac:dyDescent="0.3">
      <c r="A532" s="347">
        <f t="shared" ca="1" si="238"/>
        <v>1E-4</v>
      </c>
      <c r="B532" s="304">
        <f t="shared" ca="1" si="239"/>
        <v>33.900900000000242</v>
      </c>
      <c r="D532" s="306">
        <f t="shared" ca="1" si="240"/>
        <v>-0.73622818213108199</v>
      </c>
      <c r="E532" s="307">
        <f t="shared" ca="1" si="241"/>
        <v>-2.6131807868406645</v>
      </c>
      <c r="F532" s="304">
        <f t="shared" ca="1" si="242"/>
        <v>2.7149117409001038</v>
      </c>
      <c r="G532" s="306">
        <f t="shared" ca="1" si="243"/>
        <v>12.585651255615968</v>
      </c>
      <c r="H532" s="307">
        <f t="shared" ca="1" si="244"/>
        <v>-123.02894836788488</v>
      </c>
      <c r="I532" s="304">
        <f t="shared" ca="1" si="245"/>
        <v>123.67101824613425</v>
      </c>
      <c r="J532" s="306">
        <f t="shared" ca="1" si="246"/>
        <v>780.60585379989482</v>
      </c>
      <c r="K532" s="307">
        <f t="shared" ca="1" si="247"/>
        <v>-3.3431989980104322</v>
      </c>
      <c r="L532" s="304">
        <f t="shared" ca="1" si="232"/>
        <v>780.61301293675797</v>
      </c>
      <c r="M532" s="306">
        <f t="shared" ca="1" si="248"/>
        <v>-1.4688526595169744</v>
      </c>
      <c r="N532" s="304">
        <f t="shared" ca="1" si="249"/>
        <v>-84.159058116889142</v>
      </c>
      <c r="P532" s="310">
        <f t="shared" ca="1" si="250"/>
        <v>23</v>
      </c>
      <c r="Q532" s="304">
        <f t="shared" ca="1" si="251"/>
        <v>0</v>
      </c>
      <c r="R532" s="306">
        <f t="shared" ca="1" si="252"/>
        <v>0</v>
      </c>
      <c r="S532" s="307">
        <f t="shared" ca="1" si="253"/>
        <v>8.0499999999999989</v>
      </c>
      <c r="T532" s="304">
        <f t="shared" ca="1" si="233"/>
        <v>78.970499999999987</v>
      </c>
      <c r="U532" s="311">
        <f t="shared" ca="1" si="234"/>
        <v>0</v>
      </c>
      <c r="V532" s="306">
        <f t="shared" ca="1" si="235"/>
        <v>1.2254096103477015</v>
      </c>
      <c r="W532" s="304">
        <f t="shared" ca="1" si="236"/>
        <v>58.237059933621261</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2.5246891124073683</v>
      </c>
      <c r="AH532" s="304">
        <f t="shared" ca="1" si="260"/>
        <v>-7.2343789452214482</v>
      </c>
    </row>
    <row r="533" spans="1:34" x14ac:dyDescent="0.3">
      <c r="A533" s="347">
        <f t="shared" ca="1" si="238"/>
        <v>1E-4</v>
      </c>
      <c r="B533" s="304">
        <f t="shared" ca="1" si="239"/>
        <v>33.901000000000245</v>
      </c>
      <c r="D533" s="306">
        <f t="shared" ca="1" si="240"/>
        <v>-0.73622628415276947</v>
      </c>
      <c r="E533" s="307">
        <f t="shared" ca="1" si="241"/>
        <v>-2.6131419542398771</v>
      </c>
      <c r="F533" s="304">
        <f t="shared" ca="1" si="242"/>
        <v>2.7148738487240984</v>
      </c>
      <c r="G533" s="306">
        <f t="shared" ca="1" si="243"/>
        <v>12.585577632987553</v>
      </c>
      <c r="H533" s="307">
        <f t="shared" ca="1" si="244"/>
        <v>-123.02920968208031</v>
      </c>
      <c r="I533" s="304">
        <f t="shared" ca="1" si="245"/>
        <v>123.67127071132261</v>
      </c>
      <c r="J533" s="306">
        <f t="shared" ca="1" si="246"/>
        <v>780.60585379989482</v>
      </c>
      <c r="K533" s="307">
        <f t="shared" ca="1" si="247"/>
        <v>-3.3555019059129303</v>
      </c>
      <c r="L533" s="304">
        <f t="shared" ca="1" si="232"/>
        <v>780.61306572443641</v>
      </c>
      <c r="M533" s="306">
        <f t="shared" ca="1" si="248"/>
        <v>-1.4688534667667652</v>
      </c>
      <c r="N533" s="304">
        <f t="shared" ca="1" si="249"/>
        <v>-84.159104368895171</v>
      </c>
      <c r="P533" s="310">
        <f t="shared" ca="1" si="250"/>
        <v>23</v>
      </c>
      <c r="Q533" s="304">
        <f t="shared" ca="1" si="251"/>
        <v>0</v>
      </c>
      <c r="R533" s="306">
        <f t="shared" ca="1" si="252"/>
        <v>0</v>
      </c>
      <c r="S533" s="307">
        <f t="shared" ca="1" si="253"/>
        <v>8.0499999999999989</v>
      </c>
      <c r="T533" s="304">
        <f t="shared" ca="1" si="233"/>
        <v>78.970499999999987</v>
      </c>
      <c r="U533" s="311">
        <f t="shared" ca="1" si="234"/>
        <v>0</v>
      </c>
      <c r="V533" s="306">
        <f t="shared" ca="1" si="235"/>
        <v>1.2254111179588292</v>
      </c>
      <c r="W533" s="304">
        <f t="shared" ca="1" si="236"/>
        <v>58.237369355976497</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2.5246514804880436</v>
      </c>
      <c r="AH533" s="304">
        <f t="shared" ca="1" si="260"/>
        <v>-7.2344173830585428</v>
      </c>
    </row>
    <row r="534" spans="1:34" x14ac:dyDescent="0.3">
      <c r="A534" s="347">
        <f t="shared" ca="1" si="238"/>
        <v>1E-4</v>
      </c>
      <c r="B534" s="304">
        <f t="shared" ca="1" si="239"/>
        <v>33.901100000000248</v>
      </c>
      <c r="D534" s="306">
        <f t="shared" ca="1" si="240"/>
        <v>-0.73622438614171204</v>
      </c>
      <c r="E534" s="307">
        <f t="shared" ca="1" si="241"/>
        <v>-2.613103121919365</v>
      </c>
      <c r="F534" s="304">
        <f t="shared" ca="1" si="242"/>
        <v>2.7148359568368901</v>
      </c>
      <c r="G534" s="306">
        <f t="shared" ca="1" si="243"/>
        <v>12.585504010548938</v>
      </c>
      <c r="H534" s="307">
        <f t="shared" ca="1" si="244"/>
        <v>-123.0294709923925</v>
      </c>
      <c r="I534" s="304">
        <f t="shared" ca="1" si="245"/>
        <v>123.67152317274778</v>
      </c>
      <c r="J534" s="306">
        <f t="shared" ca="1" si="246"/>
        <v>780.60585379989482</v>
      </c>
      <c r="K534" s="307">
        <f t="shared" ca="1" si="247"/>
        <v>-3.367804839946654</v>
      </c>
      <c r="L534" s="304">
        <f t="shared" ca="1" si="232"/>
        <v>780.61311870612496</v>
      </c>
      <c r="M534" s="306">
        <f t="shared" ca="1" si="248"/>
        <v>-1.4688542740085377</v>
      </c>
      <c r="N534" s="304">
        <f t="shared" ca="1" si="249"/>
        <v>-84.159150620441778</v>
      </c>
      <c r="P534" s="310">
        <f t="shared" ca="1" si="250"/>
        <v>23</v>
      </c>
      <c r="Q534" s="304">
        <f t="shared" ca="1" si="251"/>
        <v>0</v>
      </c>
      <c r="R534" s="306">
        <f t="shared" ca="1" si="252"/>
        <v>0</v>
      </c>
      <c r="S534" s="307">
        <f t="shared" ca="1" si="253"/>
        <v>8.0499999999999989</v>
      </c>
      <c r="T534" s="304">
        <f t="shared" ca="1" si="233"/>
        <v>78.970499999999987</v>
      </c>
      <c r="U534" s="311">
        <f t="shared" ca="1" si="234"/>
        <v>0</v>
      </c>
      <c r="V534" s="306">
        <f t="shared" ca="1" si="235"/>
        <v>1.2254126255750137</v>
      </c>
      <c r="W534" s="304">
        <f t="shared" ca="1" si="236"/>
        <v>58.237678776098313</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2.5246138488317929</v>
      </c>
      <c r="AH534" s="304">
        <f t="shared" ca="1" si="260"/>
        <v>-7.2344558206181997</v>
      </c>
    </row>
    <row r="535" spans="1:34" x14ac:dyDescent="0.3">
      <c r="A535" s="347">
        <f t="shared" ca="1" si="238"/>
        <v>1E-4</v>
      </c>
      <c r="B535" s="304">
        <f t="shared" ca="1" si="239"/>
        <v>33.901200000000252</v>
      </c>
      <c r="D535" s="306">
        <f t="shared" ca="1" si="240"/>
        <v>-0.73622248809791224</v>
      </c>
      <c r="E535" s="307">
        <f t="shared" ca="1" si="241"/>
        <v>-2.6130642898791328</v>
      </c>
      <c r="F535" s="304">
        <f t="shared" ca="1" si="242"/>
        <v>2.714798065238484</v>
      </c>
      <c r="G535" s="306">
        <f t="shared" ca="1" si="243"/>
        <v>12.585430388300129</v>
      </c>
      <c r="H535" s="307">
        <f t="shared" ca="1" si="244"/>
        <v>-123.02973229882149</v>
      </c>
      <c r="I535" s="304">
        <f t="shared" ca="1" si="245"/>
        <v>123.67177563040981</v>
      </c>
      <c r="J535" s="306">
        <f t="shared" ca="1" si="246"/>
        <v>780.60585379989482</v>
      </c>
      <c r="K535" s="307">
        <f t="shared" ca="1" si="247"/>
        <v>-3.3801078001112148</v>
      </c>
      <c r="L535" s="304">
        <f t="shared" ca="1" si="232"/>
        <v>780.61317188182466</v>
      </c>
      <c r="M535" s="306">
        <f t="shared" ca="1" si="248"/>
        <v>-1.4688550812422927</v>
      </c>
      <c r="N535" s="304">
        <f t="shared" ca="1" si="249"/>
        <v>-84.159196871529019</v>
      </c>
      <c r="P535" s="310">
        <f t="shared" ca="1" si="250"/>
        <v>23</v>
      </c>
      <c r="Q535" s="304">
        <f t="shared" ca="1" si="251"/>
        <v>0</v>
      </c>
      <c r="R535" s="306">
        <f t="shared" ca="1" si="252"/>
        <v>0</v>
      </c>
      <c r="S535" s="307">
        <f t="shared" ca="1" si="253"/>
        <v>8.0499999999999989</v>
      </c>
      <c r="T535" s="304">
        <f t="shared" ca="1" si="233"/>
        <v>78.970499999999987</v>
      </c>
      <c r="U535" s="311">
        <f t="shared" ca="1" si="234"/>
        <v>0</v>
      </c>
      <c r="V535" s="306">
        <f t="shared" ca="1" si="235"/>
        <v>1.2254141331962563</v>
      </c>
      <c r="W535" s="304">
        <f t="shared" ca="1" si="236"/>
        <v>58.237988193986752</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2.5245762174386224</v>
      </c>
      <c r="AH535" s="304">
        <f t="shared" ca="1" si="260"/>
        <v>-7.2344942579004128</v>
      </c>
    </row>
    <row r="536" spans="1:34" x14ac:dyDescent="0.3">
      <c r="A536" s="347">
        <f t="shared" ca="1" si="238"/>
        <v>1E-4</v>
      </c>
      <c r="B536" s="304">
        <f t="shared" ca="1" si="239"/>
        <v>33.901300000000255</v>
      </c>
      <c r="D536" s="306">
        <f t="shared" ca="1" si="240"/>
        <v>-0.73622059002136742</v>
      </c>
      <c r="E536" s="307">
        <f t="shared" ca="1" si="241"/>
        <v>-2.6130254581191759</v>
      </c>
      <c r="F536" s="304">
        <f t="shared" ca="1" si="242"/>
        <v>2.7147601739288758</v>
      </c>
      <c r="G536" s="306">
        <f t="shared" ca="1" si="243"/>
        <v>12.585356766241127</v>
      </c>
      <c r="H536" s="307">
        <f t="shared" ca="1" si="244"/>
        <v>-123.02999360136729</v>
      </c>
      <c r="I536" s="304">
        <f t="shared" ca="1" si="245"/>
        <v>123.67202808430874</v>
      </c>
      <c r="J536" s="306">
        <f t="shared" ca="1" si="246"/>
        <v>780.60585379989482</v>
      </c>
      <c r="K536" s="307">
        <f t="shared" ca="1" si="247"/>
        <v>-3.3924107864062241</v>
      </c>
      <c r="L536" s="304">
        <f t="shared" ca="1" si="232"/>
        <v>780.61322525153673</v>
      </c>
      <c r="M536" s="306">
        <f t="shared" ca="1" si="248"/>
        <v>-1.4688558884680296</v>
      </c>
      <c r="N536" s="304">
        <f t="shared" ca="1" si="249"/>
        <v>-84.159243122156866</v>
      </c>
      <c r="P536" s="310">
        <f t="shared" ca="1" si="250"/>
        <v>23</v>
      </c>
      <c r="Q536" s="304">
        <f t="shared" ca="1" si="251"/>
        <v>0</v>
      </c>
      <c r="R536" s="306">
        <f t="shared" ca="1" si="252"/>
        <v>0</v>
      </c>
      <c r="S536" s="307">
        <f t="shared" ca="1" si="253"/>
        <v>8.0499999999999989</v>
      </c>
      <c r="T536" s="304">
        <f t="shared" ca="1" si="233"/>
        <v>78.970499999999987</v>
      </c>
      <c r="U536" s="311">
        <f t="shared" ca="1" si="234"/>
        <v>0</v>
      </c>
      <c r="V536" s="306">
        <f t="shared" ca="1" si="235"/>
        <v>1.2254156408225554</v>
      </c>
      <c r="W536" s="304">
        <f t="shared" ca="1" si="236"/>
        <v>58.238297609641776</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2.5245385863085286</v>
      </c>
      <c r="AH536" s="304">
        <f t="shared" ca="1" si="260"/>
        <v>-7.2345326949051874</v>
      </c>
    </row>
    <row r="537" spans="1:34" x14ac:dyDescent="0.3">
      <c r="A537" s="347">
        <f t="shared" ca="1" si="238"/>
        <v>1E-4</v>
      </c>
      <c r="B537" s="304">
        <f t="shared" ca="1" si="239"/>
        <v>33.901400000000258</v>
      </c>
      <c r="D537" s="306">
        <f t="shared" ca="1" si="240"/>
        <v>-0.73621869191208189</v>
      </c>
      <c r="E537" s="307">
        <f t="shared" ca="1" si="241"/>
        <v>-2.6129866266394997</v>
      </c>
      <c r="F537" s="304">
        <f t="shared" ca="1" si="242"/>
        <v>2.7147222829080713</v>
      </c>
      <c r="G537" s="306">
        <f t="shared" ca="1" si="243"/>
        <v>12.585283144371935</v>
      </c>
      <c r="H537" s="307">
        <f t="shared" ca="1" si="244"/>
        <v>-123.03025490002996</v>
      </c>
      <c r="I537" s="304">
        <f t="shared" ca="1" si="245"/>
        <v>123.67228053444458</v>
      </c>
      <c r="J537" s="306">
        <f t="shared" ca="1" si="246"/>
        <v>780.60585379989482</v>
      </c>
      <c r="K537" s="307">
        <f t="shared" ca="1" si="247"/>
        <v>-3.4047137988312941</v>
      </c>
      <c r="L537" s="304">
        <f t="shared" ca="1" si="232"/>
        <v>780.61327881526245</v>
      </c>
      <c r="M537" s="306">
        <f t="shared" ca="1" si="248"/>
        <v>-1.4688566956857489</v>
      </c>
      <c r="N537" s="304">
        <f t="shared" ca="1" si="249"/>
        <v>-84.159289372325333</v>
      </c>
      <c r="P537" s="310">
        <f t="shared" ca="1" si="250"/>
        <v>23</v>
      </c>
      <c r="Q537" s="304">
        <f t="shared" ca="1" si="251"/>
        <v>0</v>
      </c>
      <c r="R537" s="306">
        <f t="shared" ca="1" si="252"/>
        <v>0</v>
      </c>
      <c r="S537" s="307">
        <f t="shared" ca="1" si="253"/>
        <v>8.0499999999999989</v>
      </c>
      <c r="T537" s="304">
        <f t="shared" ca="1" si="233"/>
        <v>78.970499999999987</v>
      </c>
      <c r="U537" s="311">
        <f t="shared" ca="1" si="234"/>
        <v>0</v>
      </c>
      <c r="V537" s="306">
        <f t="shared" ca="1" si="235"/>
        <v>1.2254171484539118</v>
      </c>
      <c r="W537" s="304">
        <f t="shared" ca="1" si="236"/>
        <v>58.238607023063395</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2.5245009554415114</v>
      </c>
      <c r="AH537" s="304">
        <f t="shared" ca="1" si="260"/>
        <v>-7.2345711316325199</v>
      </c>
    </row>
    <row r="538" spans="1:34" x14ac:dyDescent="0.3">
      <c r="A538" s="347">
        <f t="shared" ca="1" si="238"/>
        <v>1E-4</v>
      </c>
      <c r="B538" s="304">
        <f t="shared" ca="1" si="239"/>
        <v>33.901500000000262</v>
      </c>
      <c r="D538" s="306">
        <f t="shared" ca="1" si="240"/>
        <v>-0.73621679377005422</v>
      </c>
      <c r="E538" s="307">
        <f t="shared" ca="1" si="241"/>
        <v>-2.6129477954401015</v>
      </c>
      <c r="F538" s="304">
        <f t="shared" ca="1" si="242"/>
        <v>2.7146843921760673</v>
      </c>
      <c r="G538" s="306">
        <f t="shared" ca="1" si="243"/>
        <v>12.585209522692558</v>
      </c>
      <c r="H538" s="307">
        <f t="shared" ca="1" si="244"/>
        <v>-123.03051619480951</v>
      </c>
      <c r="I538" s="304">
        <f t="shared" ca="1" si="245"/>
        <v>123.67253298081735</v>
      </c>
      <c r="J538" s="306">
        <f t="shared" ca="1" si="246"/>
        <v>780.60585379989482</v>
      </c>
      <c r="K538" s="307">
        <f t="shared" ca="1" si="247"/>
        <v>-3.4170168373860359</v>
      </c>
      <c r="L538" s="304">
        <f t="shared" ca="1" si="232"/>
        <v>780.61333257300294</v>
      </c>
      <c r="M538" s="306">
        <f t="shared" ca="1" si="248"/>
        <v>-1.4688575028954507</v>
      </c>
      <c r="N538" s="304">
        <f t="shared" ca="1" si="249"/>
        <v>-84.159335622034419</v>
      </c>
      <c r="P538" s="310">
        <f t="shared" ca="1" si="250"/>
        <v>23</v>
      </c>
      <c r="Q538" s="304">
        <f t="shared" ca="1" si="251"/>
        <v>0</v>
      </c>
      <c r="R538" s="306">
        <f t="shared" ca="1" si="252"/>
        <v>0</v>
      </c>
      <c r="S538" s="307">
        <f t="shared" ca="1" si="253"/>
        <v>8.0499999999999989</v>
      </c>
      <c r="T538" s="304">
        <f t="shared" ca="1" si="233"/>
        <v>78.970499999999987</v>
      </c>
      <c r="U538" s="311">
        <f t="shared" ca="1" si="234"/>
        <v>0</v>
      </c>
      <c r="V538" s="306">
        <f t="shared" ca="1" si="235"/>
        <v>1.2254186560903253</v>
      </c>
      <c r="W538" s="304">
        <f t="shared" ca="1" si="236"/>
        <v>58.238916434251593</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2.5244633248375745</v>
      </c>
      <c r="AH538" s="304">
        <f t="shared" ca="1" si="260"/>
        <v>-7.2346095680824103</v>
      </c>
    </row>
    <row r="539" spans="1:34" x14ac:dyDescent="0.3">
      <c r="A539" s="347">
        <f t="shared" ca="1" si="238"/>
        <v>1E-4</v>
      </c>
      <c r="B539" s="304">
        <f t="shared" ca="1" si="239"/>
        <v>33.901600000000265</v>
      </c>
      <c r="D539" s="306">
        <f t="shared" ca="1" si="240"/>
        <v>-0.73621489559528575</v>
      </c>
      <c r="E539" s="307">
        <f t="shared" ca="1" si="241"/>
        <v>-2.6129089645209849</v>
      </c>
      <c r="F539" s="304">
        <f t="shared" ca="1" si="242"/>
        <v>2.7146465017328687</v>
      </c>
      <c r="G539" s="306">
        <f t="shared" ca="1" si="243"/>
        <v>12.585135901203</v>
      </c>
      <c r="H539" s="307">
        <f t="shared" ca="1" si="244"/>
        <v>-123.03077748570595</v>
      </c>
      <c r="I539" s="304">
        <f t="shared" ca="1" si="245"/>
        <v>123.67278542342709</v>
      </c>
      <c r="J539" s="306">
        <f t="shared" ca="1" si="246"/>
        <v>780.60585379989482</v>
      </c>
      <c r="K539" s="307">
        <f t="shared" ca="1" si="247"/>
        <v>-3.4293199020700618</v>
      </c>
      <c r="L539" s="304">
        <f t="shared" ca="1" si="232"/>
        <v>780.61338652475945</v>
      </c>
      <c r="M539" s="306">
        <f t="shared" ca="1" si="248"/>
        <v>-1.4688583100971351</v>
      </c>
      <c r="N539" s="304">
        <f t="shared" ca="1" si="249"/>
        <v>-84.159381871284154</v>
      </c>
      <c r="P539" s="310">
        <f t="shared" ca="1" si="250"/>
        <v>23</v>
      </c>
      <c r="Q539" s="304">
        <f t="shared" ca="1" si="251"/>
        <v>0</v>
      </c>
      <c r="R539" s="306">
        <f t="shared" ca="1" si="252"/>
        <v>0</v>
      </c>
      <c r="S539" s="307">
        <f t="shared" ca="1" si="253"/>
        <v>8.0499999999999989</v>
      </c>
      <c r="T539" s="304">
        <f t="shared" ca="1" si="233"/>
        <v>78.970499999999987</v>
      </c>
      <c r="U539" s="311">
        <f t="shared" ca="1" si="234"/>
        <v>0</v>
      </c>
      <c r="V539" s="306">
        <f t="shared" ca="1" si="235"/>
        <v>1.2254201637317959</v>
      </c>
      <c r="W539" s="304">
        <f t="shared" ca="1" si="236"/>
        <v>58.239225843206341</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2.5244256944967178</v>
      </c>
      <c r="AH539" s="304">
        <f t="shared" ca="1" si="260"/>
        <v>-7.2346480042548569</v>
      </c>
    </row>
    <row r="540" spans="1:34" x14ac:dyDescent="0.3">
      <c r="A540" s="347">
        <f t="shared" ca="1" si="238"/>
        <v>1E-4</v>
      </c>
      <c r="B540" s="304">
        <f t="shared" ca="1" si="239"/>
        <v>33.901700000000268</v>
      </c>
      <c r="D540" s="306">
        <f t="shared" ca="1" si="240"/>
        <v>-0.73621299738777624</v>
      </c>
      <c r="E540" s="307">
        <f t="shared" ca="1" si="241"/>
        <v>-2.6128701338821525</v>
      </c>
      <c r="F540" s="304">
        <f t="shared" ca="1" si="242"/>
        <v>2.7146086115784778</v>
      </c>
      <c r="G540" s="306">
        <f t="shared" ca="1" si="243"/>
        <v>12.58506227990326</v>
      </c>
      <c r="H540" s="307">
        <f t="shared" ca="1" si="244"/>
        <v>-123.03103877271934</v>
      </c>
      <c r="I540" s="304">
        <f t="shared" ca="1" si="245"/>
        <v>123.67303786227382</v>
      </c>
      <c r="J540" s="306">
        <f t="shared" ca="1" si="246"/>
        <v>780.60585379989482</v>
      </c>
      <c r="K540" s="307">
        <f t="shared" ca="1" si="247"/>
        <v>-3.4416229928829831</v>
      </c>
      <c r="L540" s="304">
        <f t="shared" ca="1" si="232"/>
        <v>780.61344067053301</v>
      </c>
      <c r="M540" s="306">
        <f t="shared" ca="1" si="248"/>
        <v>-1.4688591172908023</v>
      </c>
      <c r="N540" s="304">
        <f t="shared" ca="1" si="249"/>
        <v>-84.159428120074537</v>
      </c>
      <c r="P540" s="310">
        <f t="shared" ca="1" si="250"/>
        <v>23</v>
      </c>
      <c r="Q540" s="304">
        <f t="shared" ca="1" si="251"/>
        <v>0</v>
      </c>
      <c r="R540" s="306">
        <f t="shared" ca="1" si="252"/>
        <v>0</v>
      </c>
      <c r="S540" s="307">
        <f t="shared" ca="1" si="253"/>
        <v>8.0499999999999989</v>
      </c>
      <c r="T540" s="304">
        <f t="shared" ca="1" si="233"/>
        <v>78.970499999999987</v>
      </c>
      <c r="U540" s="311">
        <f t="shared" ca="1" si="234"/>
        <v>0</v>
      </c>
      <c r="V540" s="306">
        <f t="shared" ca="1" si="235"/>
        <v>1.2254216713783239</v>
      </c>
      <c r="W540" s="304">
        <f t="shared" ca="1" si="236"/>
        <v>58.239535249927705</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2.524388064418944</v>
      </c>
      <c r="AH540" s="304">
        <f t="shared" ca="1" si="260"/>
        <v>-7.234686440149857</v>
      </c>
    </row>
    <row r="541" spans="1:34" x14ac:dyDescent="0.3">
      <c r="A541" s="347">
        <f t="shared" ca="1" si="238"/>
        <v>1E-4</v>
      </c>
      <c r="B541" s="304">
        <f t="shared" ca="1" si="239"/>
        <v>33.901800000000271</v>
      </c>
      <c r="D541" s="306">
        <f t="shared" ca="1" si="240"/>
        <v>-0.73621109914752636</v>
      </c>
      <c r="E541" s="307">
        <f t="shared" ca="1" si="241"/>
        <v>-2.6128313035235964</v>
      </c>
      <c r="F541" s="304">
        <f t="shared" ca="1" si="242"/>
        <v>2.7145707217128874</v>
      </c>
      <c r="G541" s="306">
        <f t="shared" ca="1" si="243"/>
        <v>12.584988658793346</v>
      </c>
      <c r="H541" s="307">
        <f t="shared" ca="1" si="244"/>
        <v>-123.0313000558497</v>
      </c>
      <c r="I541" s="304">
        <f t="shared" ca="1" si="245"/>
        <v>123.67329029735757</v>
      </c>
      <c r="J541" s="306">
        <f t="shared" ca="1" si="246"/>
        <v>780.60585379989482</v>
      </c>
      <c r="K541" s="307">
        <f t="shared" ca="1" si="247"/>
        <v>-3.4539261098244114</v>
      </c>
      <c r="L541" s="304">
        <f t="shared" ca="1" si="232"/>
        <v>780.6134950103251</v>
      </c>
      <c r="M541" s="306">
        <f t="shared" ca="1" si="248"/>
        <v>-1.4688599244764522</v>
      </c>
      <c r="N541" s="304">
        <f t="shared" ca="1" si="249"/>
        <v>-84.159474368405554</v>
      </c>
      <c r="P541" s="310">
        <f t="shared" ca="1" si="250"/>
        <v>23</v>
      </c>
      <c r="Q541" s="304">
        <f t="shared" ca="1" si="251"/>
        <v>0</v>
      </c>
      <c r="R541" s="306">
        <f t="shared" ca="1" si="252"/>
        <v>0</v>
      </c>
      <c r="S541" s="307">
        <f t="shared" ca="1" si="253"/>
        <v>8.0499999999999989</v>
      </c>
      <c r="T541" s="304">
        <f t="shared" ca="1" si="233"/>
        <v>78.970499999999987</v>
      </c>
      <c r="U541" s="311">
        <f t="shared" ca="1" si="234"/>
        <v>0</v>
      </c>
      <c r="V541" s="306">
        <f t="shared" ca="1" si="235"/>
        <v>1.2254231790299086</v>
      </c>
      <c r="W541" s="304">
        <f t="shared" ca="1" si="236"/>
        <v>58.239844654415592</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2.5243504346042496</v>
      </c>
      <c r="AH541" s="304">
        <f t="shared" ca="1" si="260"/>
        <v>-7.2347248757674176</v>
      </c>
    </row>
    <row r="542" spans="1:34" x14ac:dyDescent="0.3">
      <c r="A542" s="347">
        <f t="shared" ca="1" si="238"/>
        <v>1E-4</v>
      </c>
      <c r="B542" s="304">
        <f t="shared" ca="1" si="239"/>
        <v>33.901900000000275</v>
      </c>
      <c r="D542" s="306">
        <f t="shared" ca="1" si="240"/>
        <v>-0.73620920087453834</v>
      </c>
      <c r="E542" s="307">
        <f t="shared" ca="1" si="241"/>
        <v>-2.6127924734453272</v>
      </c>
      <c r="F542" s="304">
        <f t="shared" ca="1" si="242"/>
        <v>2.7145328321361077</v>
      </c>
      <c r="G542" s="306">
        <f t="shared" ca="1" si="243"/>
        <v>12.584915037873259</v>
      </c>
      <c r="H542" s="307">
        <f t="shared" ca="1" si="244"/>
        <v>-123.03156133509704</v>
      </c>
      <c r="I542" s="304">
        <f t="shared" ca="1" si="245"/>
        <v>123.67354272867836</v>
      </c>
      <c r="J542" s="306">
        <f t="shared" ca="1" si="246"/>
        <v>780.60585379989482</v>
      </c>
      <c r="K542" s="307">
        <f t="shared" ca="1" si="247"/>
        <v>-3.4662292528939589</v>
      </c>
      <c r="L542" s="304">
        <f t="shared" ca="1" si="232"/>
        <v>780.61354954413662</v>
      </c>
      <c r="M542" s="306">
        <f t="shared" ca="1" si="248"/>
        <v>-1.4688607316540849</v>
      </c>
      <c r="N542" s="304">
        <f t="shared" ca="1" si="249"/>
        <v>-84.159520616277234</v>
      </c>
      <c r="P542" s="310">
        <f t="shared" ca="1" si="250"/>
        <v>23</v>
      </c>
      <c r="Q542" s="304">
        <f t="shared" ca="1" si="251"/>
        <v>0</v>
      </c>
      <c r="R542" s="306">
        <f t="shared" ca="1" si="252"/>
        <v>0</v>
      </c>
      <c r="S542" s="307">
        <f t="shared" ca="1" si="253"/>
        <v>8.0499999999999989</v>
      </c>
      <c r="T542" s="304">
        <f t="shared" ca="1" si="233"/>
        <v>78.970499999999987</v>
      </c>
      <c r="U542" s="311">
        <f t="shared" ca="1" si="234"/>
        <v>0</v>
      </c>
      <c r="V542" s="306">
        <f t="shared" ca="1" si="235"/>
        <v>1.2254246866865506</v>
      </c>
      <c r="W542" s="304">
        <f t="shared" ca="1" si="236"/>
        <v>58.240154056670065</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2.5243128050526398</v>
      </c>
      <c r="AH542" s="304">
        <f t="shared" ca="1" si="260"/>
        <v>-7.2347633111075282</v>
      </c>
    </row>
    <row r="543" spans="1:34" x14ac:dyDescent="0.3">
      <c r="A543" s="347">
        <f t="shared" ca="1" si="238"/>
        <v>1E-4</v>
      </c>
      <c r="B543" s="304">
        <f t="shared" ca="1" si="239"/>
        <v>33.902000000000278</v>
      </c>
      <c r="D543" s="306">
        <f t="shared" ca="1" si="240"/>
        <v>-0.73620730256881262</v>
      </c>
      <c r="E543" s="307">
        <f t="shared" ca="1" si="241"/>
        <v>-2.6127536436473395</v>
      </c>
      <c r="F543" s="304">
        <f t="shared" ca="1" si="242"/>
        <v>2.7144949428481344</v>
      </c>
      <c r="G543" s="306">
        <f t="shared" ca="1" si="243"/>
        <v>12.584841417143002</v>
      </c>
      <c r="H543" s="307">
        <f t="shared" ca="1" si="244"/>
        <v>-123.0318226104614</v>
      </c>
      <c r="I543" s="304">
        <f t="shared" ca="1" si="245"/>
        <v>123.67379515623622</v>
      </c>
      <c r="J543" s="306">
        <f t="shared" ca="1" si="246"/>
        <v>780.60585379989482</v>
      </c>
      <c r="K543" s="307">
        <f t="shared" ca="1" si="247"/>
        <v>-3.478532422091237</v>
      </c>
      <c r="L543" s="304">
        <f t="shared" ca="1" si="232"/>
        <v>780.61360427196905</v>
      </c>
      <c r="M543" s="306">
        <f t="shared" ca="1" si="248"/>
        <v>-1.468861538823701</v>
      </c>
      <c r="N543" s="304">
        <f t="shared" ca="1" si="249"/>
        <v>-84.159566863689577</v>
      </c>
      <c r="P543" s="310">
        <f t="shared" ca="1" si="250"/>
        <v>23</v>
      </c>
      <c r="Q543" s="304">
        <f t="shared" ca="1" si="251"/>
        <v>0</v>
      </c>
      <c r="R543" s="306">
        <f t="shared" ca="1" si="252"/>
        <v>0</v>
      </c>
      <c r="S543" s="307">
        <f t="shared" ca="1" si="253"/>
        <v>8.0499999999999989</v>
      </c>
      <c r="T543" s="304">
        <f t="shared" ca="1" si="233"/>
        <v>78.970499999999987</v>
      </c>
      <c r="U543" s="311">
        <f t="shared" ca="1" si="234"/>
        <v>0</v>
      </c>
      <c r="V543" s="306">
        <f t="shared" ca="1" si="235"/>
        <v>1.225426194348249</v>
      </c>
      <c r="W543" s="304">
        <f t="shared" ca="1" si="236"/>
        <v>58.240463456691053</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2.5242751757641155</v>
      </c>
      <c r="AH543" s="304">
        <f t="shared" ca="1" si="260"/>
        <v>-7.234801746170195</v>
      </c>
    </row>
    <row r="544" spans="1:34" x14ac:dyDescent="0.3">
      <c r="A544" s="347">
        <f t="shared" ca="1" si="238"/>
        <v>1E-4</v>
      </c>
      <c r="B544" s="304">
        <f t="shared" ca="1" si="239"/>
        <v>33.902100000000281</v>
      </c>
      <c r="D544" s="306">
        <f t="shared" ca="1" si="240"/>
        <v>-0.73620540423034708</v>
      </c>
      <c r="E544" s="307">
        <f t="shared" ca="1" si="241"/>
        <v>-2.6127148141296397</v>
      </c>
      <c r="F544" s="304">
        <f t="shared" ca="1" si="242"/>
        <v>2.7144570538489732</v>
      </c>
      <c r="G544" s="306">
        <f t="shared" ca="1" si="243"/>
        <v>12.584767796602579</v>
      </c>
      <c r="H544" s="307">
        <f t="shared" ca="1" si="244"/>
        <v>-123.03208388194281</v>
      </c>
      <c r="I544" s="304">
        <f t="shared" ca="1" si="245"/>
        <v>123.67404758003119</v>
      </c>
      <c r="J544" s="306">
        <f t="shared" ca="1" si="246"/>
        <v>780.60585379989482</v>
      </c>
      <c r="K544" s="307">
        <f t="shared" ca="1" si="247"/>
        <v>-3.4908356174158572</v>
      </c>
      <c r="L544" s="304">
        <f t="shared" ca="1" si="232"/>
        <v>780.61365919382331</v>
      </c>
      <c r="M544" s="306">
        <f t="shared" ca="1" si="248"/>
        <v>-1.4688623459853001</v>
      </c>
      <c r="N544" s="304">
        <f t="shared" ca="1" si="249"/>
        <v>-84.159613110642596</v>
      </c>
      <c r="P544" s="310">
        <f t="shared" ca="1" si="250"/>
        <v>23</v>
      </c>
      <c r="Q544" s="304">
        <f t="shared" ca="1" si="251"/>
        <v>0</v>
      </c>
      <c r="R544" s="306">
        <f t="shared" ca="1" si="252"/>
        <v>0</v>
      </c>
      <c r="S544" s="307">
        <f t="shared" ca="1" si="253"/>
        <v>8.0499999999999989</v>
      </c>
      <c r="T544" s="304">
        <f t="shared" ca="1" si="233"/>
        <v>78.970499999999987</v>
      </c>
      <c r="U544" s="311">
        <f t="shared" ca="1" si="234"/>
        <v>0</v>
      </c>
      <c r="V544" s="306">
        <f t="shared" ca="1" si="235"/>
        <v>1.2254277020150051</v>
      </c>
      <c r="W544" s="304">
        <f t="shared" ca="1" si="236"/>
        <v>58.240772854478621</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2.5242375467386795</v>
      </c>
      <c r="AH544" s="304">
        <f t="shared" ca="1" si="260"/>
        <v>-7.2348401809554117</v>
      </c>
    </row>
    <row r="545" spans="1:34" x14ac:dyDescent="0.3">
      <c r="A545" s="347">
        <f t="shared" ca="1" si="238"/>
        <v>1E-4</v>
      </c>
      <c r="B545" s="304">
        <f t="shared" ca="1" si="239"/>
        <v>33.902200000000285</v>
      </c>
      <c r="D545" s="306">
        <f t="shared" ca="1" si="240"/>
        <v>-0.73620350585914551</v>
      </c>
      <c r="E545" s="307">
        <f t="shared" ca="1" si="241"/>
        <v>-2.6126759848922205</v>
      </c>
      <c r="F545" s="304">
        <f t="shared" ca="1" si="242"/>
        <v>2.7144191651386178</v>
      </c>
      <c r="G545" s="306">
        <f t="shared" ca="1" si="243"/>
        <v>12.584694176251993</v>
      </c>
      <c r="H545" s="307">
        <f t="shared" ca="1" si="244"/>
        <v>-123.0323451495413</v>
      </c>
      <c r="I545" s="304">
        <f t="shared" ca="1" si="245"/>
        <v>123.67430000006327</v>
      </c>
      <c r="J545" s="306">
        <f t="shared" ca="1" si="246"/>
        <v>780.60585379989482</v>
      </c>
      <c r="K545" s="307">
        <f t="shared" ca="1" si="247"/>
        <v>-3.5031388388674314</v>
      </c>
      <c r="L545" s="304">
        <f t="shared" ca="1" si="232"/>
        <v>780.61371430970075</v>
      </c>
      <c r="M545" s="306">
        <f t="shared" ca="1" si="248"/>
        <v>-1.4688631531388825</v>
      </c>
      <c r="N545" s="304">
        <f t="shared" ca="1" si="249"/>
        <v>-84.159659357136292</v>
      </c>
      <c r="P545" s="310">
        <f t="shared" ca="1" si="250"/>
        <v>23</v>
      </c>
      <c r="Q545" s="304">
        <f t="shared" ca="1" si="251"/>
        <v>0</v>
      </c>
      <c r="R545" s="306">
        <f t="shared" ca="1" si="252"/>
        <v>0</v>
      </c>
      <c r="S545" s="307">
        <f t="shared" ca="1" si="253"/>
        <v>8.0499999999999989</v>
      </c>
      <c r="T545" s="304">
        <f t="shared" ca="1" si="233"/>
        <v>78.970499999999987</v>
      </c>
      <c r="U545" s="311">
        <f t="shared" ca="1" si="234"/>
        <v>0</v>
      </c>
      <c r="V545" s="306">
        <f t="shared" ca="1" si="235"/>
        <v>1.2254292096868176</v>
      </c>
      <c r="W545" s="304">
        <f t="shared" ca="1" si="236"/>
        <v>58.24108225003269</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2.5241999179763264</v>
      </c>
      <c r="AH545" s="304">
        <f t="shared" ca="1" si="260"/>
        <v>-7.2348786154631837</v>
      </c>
    </row>
    <row r="546" spans="1:34" x14ac:dyDescent="0.3">
      <c r="A546" s="347">
        <f t="shared" ca="1" si="238"/>
        <v>1E-4</v>
      </c>
      <c r="B546" s="304">
        <f t="shared" ca="1" si="239"/>
        <v>33.902300000000288</v>
      </c>
      <c r="D546" s="306">
        <f t="shared" ca="1" si="240"/>
        <v>-0.73620160745520713</v>
      </c>
      <c r="E546" s="307">
        <f t="shared" ca="1" si="241"/>
        <v>-2.6126371559350918</v>
      </c>
      <c r="F546" s="304">
        <f t="shared" ca="1" si="242"/>
        <v>2.7143812767170785</v>
      </c>
      <c r="G546" s="306">
        <f t="shared" ca="1" si="243"/>
        <v>12.584620556091247</v>
      </c>
      <c r="H546" s="307">
        <f t="shared" ca="1" si="244"/>
        <v>-123.0326064132569</v>
      </c>
      <c r="I546" s="304">
        <f t="shared" ca="1" si="245"/>
        <v>123.67455241633252</v>
      </c>
      <c r="J546" s="306">
        <f t="shared" ca="1" si="246"/>
        <v>780.60585379989482</v>
      </c>
      <c r="K546" s="307">
        <f t="shared" ca="1" si="247"/>
        <v>-3.5154420864455713</v>
      </c>
      <c r="L546" s="304">
        <f t="shared" ca="1" si="232"/>
        <v>780.61376961960252</v>
      </c>
      <c r="M546" s="306">
        <f t="shared" ca="1" si="248"/>
        <v>-1.4688639602844484</v>
      </c>
      <c r="N546" s="304">
        <f t="shared" ca="1" si="249"/>
        <v>-84.159705603170664</v>
      </c>
      <c r="P546" s="310">
        <f t="shared" ca="1" si="250"/>
        <v>23</v>
      </c>
      <c r="Q546" s="304">
        <f t="shared" ca="1" si="251"/>
        <v>0</v>
      </c>
      <c r="R546" s="306">
        <f t="shared" ca="1" si="252"/>
        <v>0</v>
      </c>
      <c r="S546" s="307">
        <f t="shared" ca="1" si="253"/>
        <v>8.0499999999999989</v>
      </c>
      <c r="T546" s="304">
        <f t="shared" ca="1" si="233"/>
        <v>78.970499999999987</v>
      </c>
      <c r="U546" s="311">
        <f t="shared" ca="1" si="234"/>
        <v>0</v>
      </c>
      <c r="V546" s="306">
        <f t="shared" ca="1" si="235"/>
        <v>1.2254307173636871</v>
      </c>
      <c r="W546" s="304">
        <f t="shared" ca="1" si="236"/>
        <v>58.24139164335331</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2.5241622894770659</v>
      </c>
      <c r="AH546" s="304">
        <f t="shared" ca="1" si="260"/>
        <v>-7.2349170496935029</v>
      </c>
    </row>
    <row r="547" spans="1:34" x14ac:dyDescent="0.3">
      <c r="A547" s="347">
        <f t="shared" ca="1" si="238"/>
        <v>1E-4</v>
      </c>
      <c r="B547" s="304">
        <f t="shared" ca="1" si="239"/>
        <v>33.902400000000291</v>
      </c>
      <c r="D547" s="306">
        <f t="shared" ca="1" si="240"/>
        <v>-0.73619970901853227</v>
      </c>
      <c r="E547" s="307">
        <f t="shared" ca="1" si="241"/>
        <v>-2.6125983272582483</v>
      </c>
      <c r="F547" s="304">
        <f t="shared" ca="1" si="242"/>
        <v>2.7143433885843495</v>
      </c>
      <c r="G547" s="306">
        <f t="shared" ca="1" si="243"/>
        <v>12.584546936120345</v>
      </c>
      <c r="H547" s="307">
        <f t="shared" ca="1" si="244"/>
        <v>-123.03286767308963</v>
      </c>
      <c r="I547" s="304">
        <f t="shared" ca="1" si="245"/>
        <v>123.67480482883892</v>
      </c>
      <c r="J547" s="306">
        <f t="shared" ca="1" si="246"/>
        <v>780.60585379989482</v>
      </c>
      <c r="K547" s="307">
        <f t="shared" ca="1" si="247"/>
        <v>-3.5277453601498885</v>
      </c>
      <c r="L547" s="304">
        <f t="shared" ca="1" si="232"/>
        <v>780.61382512352975</v>
      </c>
      <c r="M547" s="306">
        <f t="shared" ca="1" si="248"/>
        <v>-1.4688647674219977</v>
      </c>
      <c r="N547" s="304">
        <f t="shared" ca="1" si="249"/>
        <v>-84.159751848745728</v>
      </c>
      <c r="P547" s="310">
        <f t="shared" ca="1" si="250"/>
        <v>23</v>
      </c>
      <c r="Q547" s="304">
        <f t="shared" ca="1" si="251"/>
        <v>0</v>
      </c>
      <c r="R547" s="306">
        <f t="shared" ca="1" si="252"/>
        <v>0</v>
      </c>
      <c r="S547" s="307">
        <f t="shared" ca="1" si="253"/>
        <v>8.0499999999999989</v>
      </c>
      <c r="T547" s="304">
        <f t="shared" ca="1" si="233"/>
        <v>78.970499999999987</v>
      </c>
      <c r="U547" s="311">
        <f t="shared" ca="1" si="234"/>
        <v>0</v>
      </c>
      <c r="V547" s="306">
        <f t="shared" ca="1" si="235"/>
        <v>1.2254322250456133</v>
      </c>
      <c r="W547" s="304">
        <f t="shared" ca="1" si="236"/>
        <v>58.241701034440432</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2.5241246612408927</v>
      </c>
      <c r="AH547" s="304">
        <f t="shared" ca="1" si="260"/>
        <v>-7.2349554836463748</v>
      </c>
    </row>
    <row r="548" spans="1:34" x14ac:dyDescent="0.3">
      <c r="A548" s="347">
        <f t="shared" ca="1" si="238"/>
        <v>1E-4</v>
      </c>
      <c r="B548" s="304">
        <f t="shared" ca="1" si="239"/>
        <v>33.902500000000295</v>
      </c>
      <c r="D548" s="306">
        <f t="shared" ca="1" si="240"/>
        <v>-0.7361978105491237</v>
      </c>
      <c r="E548" s="307">
        <f t="shared" ca="1" si="241"/>
        <v>-2.6125594988616943</v>
      </c>
      <c r="F548" s="304">
        <f t="shared" ca="1" si="242"/>
        <v>2.7143055007404362</v>
      </c>
      <c r="G548" s="306">
        <f t="shared" ca="1" si="243"/>
        <v>12.58447331633929</v>
      </c>
      <c r="H548" s="307">
        <f t="shared" ca="1" si="244"/>
        <v>-123.03312892903951</v>
      </c>
      <c r="I548" s="304">
        <f t="shared" ca="1" si="245"/>
        <v>123.67505723758254</v>
      </c>
      <c r="J548" s="306">
        <f t="shared" ca="1" si="246"/>
        <v>780.60585379989482</v>
      </c>
      <c r="K548" s="307">
        <f t="shared" ca="1" si="247"/>
        <v>-3.5400486599799947</v>
      </c>
      <c r="L548" s="304">
        <f t="shared" ca="1" si="232"/>
        <v>780.6138808214838</v>
      </c>
      <c r="M548" s="306">
        <f t="shared" ca="1" si="248"/>
        <v>-1.4688655745515309</v>
      </c>
      <c r="N548" s="304">
        <f t="shared" ca="1" si="249"/>
        <v>-84.159798093861497</v>
      </c>
      <c r="P548" s="310">
        <f t="shared" ca="1" si="250"/>
        <v>23</v>
      </c>
      <c r="Q548" s="304">
        <f t="shared" ca="1" si="251"/>
        <v>0</v>
      </c>
      <c r="R548" s="306">
        <f t="shared" ca="1" si="252"/>
        <v>0</v>
      </c>
      <c r="S548" s="307">
        <f t="shared" ca="1" si="253"/>
        <v>8.0499999999999989</v>
      </c>
      <c r="T548" s="304">
        <f t="shared" ca="1" si="233"/>
        <v>78.970499999999987</v>
      </c>
      <c r="U548" s="311">
        <f t="shared" ca="1" si="234"/>
        <v>0</v>
      </c>
      <c r="V548" s="306">
        <f t="shared" ca="1" si="235"/>
        <v>1.2254337327325966</v>
      </c>
      <c r="W548" s="304">
        <f t="shared" ca="1" si="236"/>
        <v>58.242010423294083</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2.5240870332678105</v>
      </c>
      <c r="AH548" s="304">
        <f t="shared" ca="1" si="260"/>
        <v>-7.2349939173217939</v>
      </c>
    </row>
    <row r="549" spans="1:34" x14ac:dyDescent="0.3">
      <c r="A549" s="347">
        <f t="shared" ca="1" si="238"/>
        <v>1E-4</v>
      </c>
      <c r="B549" s="304">
        <f t="shared" ca="1" si="239"/>
        <v>33.902600000000298</v>
      </c>
      <c r="D549" s="306">
        <f t="shared" ca="1" si="240"/>
        <v>-0.73619591204697854</v>
      </c>
      <c r="E549" s="307">
        <f t="shared" ca="1" si="241"/>
        <v>-2.612520670745428</v>
      </c>
      <c r="F549" s="304">
        <f t="shared" ca="1" si="242"/>
        <v>2.7142676131853367</v>
      </c>
      <c r="G549" s="306">
        <f t="shared" ca="1" si="243"/>
        <v>12.584399696748084</v>
      </c>
      <c r="H549" s="307">
        <f t="shared" ca="1" si="244"/>
        <v>-123.03339018110658</v>
      </c>
      <c r="I549" s="304">
        <f t="shared" ca="1" si="245"/>
        <v>123.67530964256336</v>
      </c>
      <c r="J549" s="306">
        <f t="shared" ca="1" si="246"/>
        <v>780.60585379989482</v>
      </c>
      <c r="K549" s="307">
        <f t="shared" ca="1" si="247"/>
        <v>-3.5523519859355019</v>
      </c>
      <c r="L549" s="304">
        <f t="shared" ca="1" si="232"/>
        <v>780.6139367134657</v>
      </c>
      <c r="M549" s="306">
        <f t="shared" ca="1" si="248"/>
        <v>-1.4688663816730476</v>
      </c>
      <c r="N549" s="304">
        <f t="shared" ca="1" si="249"/>
        <v>-84.159844338517956</v>
      </c>
      <c r="P549" s="310">
        <f t="shared" ca="1" si="250"/>
        <v>23</v>
      </c>
      <c r="Q549" s="304">
        <f t="shared" ca="1" si="251"/>
        <v>0</v>
      </c>
      <c r="R549" s="306">
        <f t="shared" ca="1" si="252"/>
        <v>0</v>
      </c>
      <c r="S549" s="307">
        <f t="shared" ca="1" si="253"/>
        <v>8.0499999999999989</v>
      </c>
      <c r="T549" s="304">
        <f t="shared" ca="1" si="233"/>
        <v>78.970499999999987</v>
      </c>
      <c r="U549" s="311">
        <f t="shared" ca="1" si="234"/>
        <v>0</v>
      </c>
      <c r="V549" s="306">
        <f t="shared" ca="1" si="235"/>
        <v>1.2254352404246363</v>
      </c>
      <c r="W549" s="304">
        <f t="shared" ca="1" si="236"/>
        <v>58.242319809914207</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2.52404940555782</v>
      </c>
      <c r="AH549" s="304">
        <f t="shared" ca="1" si="260"/>
        <v>-7.2350323507197629</v>
      </c>
    </row>
    <row r="550" spans="1:34" x14ac:dyDescent="0.3">
      <c r="A550" s="347">
        <f t="shared" ca="1" si="238"/>
        <v>1E-4</v>
      </c>
      <c r="B550" s="304">
        <f t="shared" ca="1" si="239"/>
        <v>33.902700000000301</v>
      </c>
      <c r="D550" s="306">
        <f t="shared" ca="1" si="240"/>
        <v>-0.7361940135121009</v>
      </c>
      <c r="E550" s="307">
        <f t="shared" ca="1" si="241"/>
        <v>-2.6124818429094558</v>
      </c>
      <c r="F550" s="304">
        <f t="shared" ca="1" si="242"/>
        <v>2.7142297259190573</v>
      </c>
      <c r="G550" s="306">
        <f t="shared" ca="1" si="243"/>
        <v>12.584326077346732</v>
      </c>
      <c r="H550" s="307">
        <f t="shared" ca="1" si="244"/>
        <v>-123.03365142929087</v>
      </c>
      <c r="I550" s="304">
        <f t="shared" ca="1" si="245"/>
        <v>123.67556204378145</v>
      </c>
      <c r="J550" s="306">
        <f t="shared" ca="1" si="246"/>
        <v>780.60585379989482</v>
      </c>
      <c r="K550" s="307">
        <f t="shared" ca="1" si="247"/>
        <v>-3.564655338016022</v>
      </c>
      <c r="L550" s="304">
        <f t="shared" ca="1" si="232"/>
        <v>780.6139927994767</v>
      </c>
      <c r="M550" s="306">
        <f t="shared" ca="1" si="248"/>
        <v>-1.4688671887865485</v>
      </c>
      <c r="N550" s="304">
        <f t="shared" ca="1" si="249"/>
        <v>-84.15989058271515</v>
      </c>
      <c r="P550" s="310">
        <f t="shared" ca="1" si="250"/>
        <v>23</v>
      </c>
      <c r="Q550" s="304">
        <f t="shared" ca="1" si="251"/>
        <v>0</v>
      </c>
      <c r="R550" s="306">
        <f t="shared" ca="1" si="252"/>
        <v>0</v>
      </c>
      <c r="S550" s="307">
        <f t="shared" ca="1" si="253"/>
        <v>8.0499999999999989</v>
      </c>
      <c r="T550" s="304">
        <f t="shared" ca="1" si="233"/>
        <v>78.970499999999987</v>
      </c>
      <c r="U550" s="311">
        <f t="shared" ca="1" si="234"/>
        <v>0</v>
      </c>
      <c r="V550" s="306">
        <f t="shared" ca="1" si="235"/>
        <v>1.2254367481217334</v>
      </c>
      <c r="W550" s="304">
        <f t="shared" ca="1" si="236"/>
        <v>58.242629194300882</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2.5240117781109266</v>
      </c>
      <c r="AH550" s="304">
        <f t="shared" ca="1" si="260"/>
        <v>-7.2350707838402748</v>
      </c>
    </row>
    <row r="551" spans="1:34" x14ac:dyDescent="0.3">
      <c r="A551" s="347">
        <f t="shared" ca="1" si="238"/>
        <v>1E-4</v>
      </c>
      <c r="B551" s="304">
        <f t="shared" ca="1" si="239"/>
        <v>33.902800000000305</v>
      </c>
      <c r="D551" s="306">
        <f t="shared" ca="1" si="240"/>
        <v>-0.73619211494448855</v>
      </c>
      <c r="E551" s="307">
        <f t="shared" ca="1" si="241"/>
        <v>-2.6124430153537679</v>
      </c>
      <c r="F551" s="304">
        <f t="shared" ca="1" si="242"/>
        <v>2.7141918389415891</v>
      </c>
      <c r="G551" s="306">
        <f t="shared" ca="1" si="243"/>
        <v>12.584252458135238</v>
      </c>
      <c r="H551" s="307">
        <f t="shared" ca="1" si="244"/>
        <v>-123.03391267359241</v>
      </c>
      <c r="I551" s="304">
        <f t="shared" ca="1" si="245"/>
        <v>123.67581444123684</v>
      </c>
      <c r="J551" s="306">
        <f t="shared" ca="1" si="246"/>
        <v>780.60585379989482</v>
      </c>
      <c r="K551" s="307">
        <f t="shared" ca="1" si="247"/>
        <v>-3.5769587162211662</v>
      </c>
      <c r="L551" s="304">
        <f t="shared" ca="1" si="232"/>
        <v>780.61404907951805</v>
      </c>
      <c r="M551" s="306">
        <f t="shared" ca="1" si="248"/>
        <v>-1.4688679958920332</v>
      </c>
      <c r="N551" s="304">
        <f t="shared" ca="1" si="249"/>
        <v>-84.159936826453048</v>
      </c>
      <c r="P551" s="310">
        <f t="shared" ca="1" si="250"/>
        <v>23</v>
      </c>
      <c r="Q551" s="304">
        <f t="shared" ca="1" si="251"/>
        <v>0</v>
      </c>
      <c r="R551" s="306">
        <f t="shared" ca="1" si="252"/>
        <v>0</v>
      </c>
      <c r="S551" s="307">
        <f t="shared" ca="1" si="253"/>
        <v>8.0499999999999989</v>
      </c>
      <c r="T551" s="304">
        <f t="shared" ca="1" si="233"/>
        <v>78.970499999999987</v>
      </c>
      <c r="U551" s="311">
        <f t="shared" ca="1" si="234"/>
        <v>0</v>
      </c>
      <c r="V551" s="306">
        <f t="shared" ca="1" si="235"/>
        <v>1.2254382558238865</v>
      </c>
      <c r="W551" s="304">
        <f t="shared" ca="1" si="236"/>
        <v>58.242938576454023</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2.5239741509271214</v>
      </c>
      <c r="AH551" s="304">
        <f t="shared" ca="1" si="260"/>
        <v>-7.2351092166833402</v>
      </c>
    </row>
    <row r="552" spans="1:34" x14ac:dyDescent="0.3">
      <c r="A552" s="347">
        <f t="shared" ca="1" si="238"/>
        <v>1E-4</v>
      </c>
      <c r="B552" s="304">
        <f t="shared" ca="1" si="239"/>
        <v>33.902900000000308</v>
      </c>
      <c r="D552" s="306">
        <f t="shared" ca="1" si="240"/>
        <v>-0.73619021634414517</v>
      </c>
      <c r="E552" s="307">
        <f t="shared" ca="1" si="241"/>
        <v>-2.6124041880783748</v>
      </c>
      <c r="F552" s="304">
        <f t="shared" ca="1" si="242"/>
        <v>2.7141539522529432</v>
      </c>
      <c r="G552" s="306">
        <f t="shared" ca="1" si="243"/>
        <v>12.584178839113603</v>
      </c>
      <c r="H552" s="307">
        <f t="shared" ca="1" si="244"/>
        <v>-123.03417391401122</v>
      </c>
      <c r="I552" s="304">
        <f t="shared" ca="1" si="245"/>
        <v>123.67606683492951</v>
      </c>
      <c r="J552" s="306">
        <f t="shared" ca="1" si="246"/>
        <v>780.60585379989482</v>
      </c>
      <c r="K552" s="307">
        <f t="shared" ca="1" si="247"/>
        <v>-3.5892621205505466</v>
      </c>
      <c r="L552" s="304">
        <f t="shared" ca="1" si="232"/>
        <v>780.61410555359089</v>
      </c>
      <c r="M552" s="306">
        <f t="shared" ca="1" si="248"/>
        <v>-1.4688688029895023</v>
      </c>
      <c r="N552" s="304">
        <f t="shared" ca="1" si="249"/>
        <v>-84.15998306973168</v>
      </c>
      <c r="P552" s="310">
        <f t="shared" ca="1" si="250"/>
        <v>23</v>
      </c>
      <c r="Q552" s="304">
        <f t="shared" ca="1" si="251"/>
        <v>0</v>
      </c>
      <c r="R552" s="306">
        <f t="shared" ca="1" si="252"/>
        <v>0</v>
      </c>
      <c r="S552" s="307">
        <f t="shared" ca="1" si="253"/>
        <v>8.0499999999999989</v>
      </c>
      <c r="T552" s="304">
        <f t="shared" ca="1" si="233"/>
        <v>78.970499999999987</v>
      </c>
      <c r="U552" s="311">
        <f t="shared" ca="1" si="234"/>
        <v>0</v>
      </c>
      <c r="V552" s="306">
        <f t="shared" ca="1" si="235"/>
        <v>1.2254397635310967</v>
      </c>
      <c r="W552" s="304">
        <f t="shared" ca="1" si="236"/>
        <v>58.243247956373644</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2.523936524006416</v>
      </c>
      <c r="AH552" s="304">
        <f t="shared" ca="1" si="260"/>
        <v>-7.2351476492489475</v>
      </c>
    </row>
    <row r="553" spans="1:34" x14ac:dyDescent="0.3">
      <c r="A553" s="347">
        <f t="shared" ca="1" si="238"/>
        <v>1E-4</v>
      </c>
      <c r="B553" s="304">
        <f t="shared" ca="1" si="239"/>
        <v>33.903000000000311</v>
      </c>
      <c r="D553" s="306">
        <f t="shared" ca="1" si="240"/>
        <v>-0.73618831771106774</v>
      </c>
      <c r="E553" s="307">
        <f t="shared" ca="1" si="241"/>
        <v>-2.612365361083274</v>
      </c>
      <c r="F553" s="304">
        <f t="shared" ca="1" si="242"/>
        <v>2.714116065853116</v>
      </c>
      <c r="G553" s="306">
        <f t="shared" ca="1" si="243"/>
        <v>12.584105220281833</v>
      </c>
      <c r="H553" s="307">
        <f t="shared" ca="1" si="244"/>
        <v>-123.03443515054732</v>
      </c>
      <c r="I553" s="304">
        <f t="shared" ca="1" si="245"/>
        <v>123.67631922485953</v>
      </c>
      <c r="J553" s="306">
        <f t="shared" ca="1" si="246"/>
        <v>780.60585379989482</v>
      </c>
      <c r="K553" s="307">
        <f t="shared" ca="1" si="247"/>
        <v>-3.6015655510037745</v>
      </c>
      <c r="L553" s="304">
        <f t="shared" ca="1" si="232"/>
        <v>780.61416222169635</v>
      </c>
      <c r="M553" s="306">
        <f t="shared" ca="1" si="248"/>
        <v>-1.4688696100789553</v>
      </c>
      <c r="N553" s="304">
        <f t="shared" ca="1" si="249"/>
        <v>-84.160029312551032</v>
      </c>
      <c r="P553" s="310">
        <f t="shared" ca="1" si="250"/>
        <v>23</v>
      </c>
      <c r="Q553" s="304">
        <f t="shared" ca="1" si="251"/>
        <v>0</v>
      </c>
      <c r="R553" s="306">
        <f t="shared" ca="1" si="252"/>
        <v>0</v>
      </c>
      <c r="S553" s="307">
        <f t="shared" ca="1" si="253"/>
        <v>8.0499999999999989</v>
      </c>
      <c r="T553" s="304">
        <f t="shared" ca="1" si="233"/>
        <v>78.970499999999987</v>
      </c>
      <c r="U553" s="311">
        <f t="shared" ca="1" si="234"/>
        <v>0</v>
      </c>
      <c r="V553" s="306">
        <f t="shared" ca="1" si="235"/>
        <v>1.2254412712433636</v>
      </c>
      <c r="W553" s="304">
        <f t="shared" ca="1" si="236"/>
        <v>58.243557334059751</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2.5238988973488059</v>
      </c>
      <c r="AH553" s="304">
        <f t="shared" ca="1" si="260"/>
        <v>-7.2351860815370994</v>
      </c>
    </row>
    <row r="554" spans="1:34" x14ac:dyDescent="0.3">
      <c r="A554" s="347">
        <f t="shared" ca="1" si="238"/>
        <v>1E-4</v>
      </c>
      <c r="B554" s="304">
        <f t="shared" ca="1" si="239"/>
        <v>33.903100000000315</v>
      </c>
      <c r="D554" s="306">
        <f t="shared" ca="1" si="240"/>
        <v>-0.73618641904526116</v>
      </c>
      <c r="E554" s="307">
        <f t="shared" ca="1" si="241"/>
        <v>-2.6123265343684663</v>
      </c>
      <c r="F554" s="304">
        <f t="shared" ca="1" si="242"/>
        <v>2.7140781797421103</v>
      </c>
      <c r="G554" s="306">
        <f t="shared" ca="1" si="243"/>
        <v>12.584031601639929</v>
      </c>
      <c r="H554" s="307">
        <f t="shared" ca="1" si="244"/>
        <v>-123.03469638320077</v>
      </c>
      <c r="I554" s="304">
        <f t="shared" ca="1" si="245"/>
        <v>123.67657161102692</v>
      </c>
      <c r="J554" s="306">
        <f t="shared" ca="1" si="246"/>
        <v>780.60585379989482</v>
      </c>
      <c r="K554" s="307">
        <f t="shared" ca="1" si="247"/>
        <v>-3.6138690075804618</v>
      </c>
      <c r="L554" s="304">
        <f t="shared" ca="1" si="232"/>
        <v>780.61421908383568</v>
      </c>
      <c r="M554" s="306">
        <f t="shared" ca="1" si="248"/>
        <v>-1.468870417160393</v>
      </c>
      <c r="N554" s="304">
        <f t="shared" ca="1" si="249"/>
        <v>-84.160075554911131</v>
      </c>
      <c r="P554" s="310">
        <f t="shared" ca="1" si="250"/>
        <v>23</v>
      </c>
      <c r="Q554" s="304">
        <f t="shared" ca="1" si="251"/>
        <v>0</v>
      </c>
      <c r="R554" s="306">
        <f t="shared" ca="1" si="252"/>
        <v>0</v>
      </c>
      <c r="S554" s="307">
        <f t="shared" ca="1" si="253"/>
        <v>8.0499999999999989</v>
      </c>
      <c r="T554" s="304">
        <f t="shared" ca="1" si="233"/>
        <v>78.970499999999987</v>
      </c>
      <c r="U554" s="311">
        <f t="shared" ca="1" si="234"/>
        <v>0</v>
      </c>
      <c r="V554" s="306">
        <f t="shared" ca="1" si="235"/>
        <v>1.2254427789606872</v>
      </c>
      <c r="W554" s="304">
        <f t="shared" ca="1" si="236"/>
        <v>58.243866709512368</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2.5238612709542929</v>
      </c>
      <c r="AH554" s="304">
        <f t="shared" ca="1" si="260"/>
        <v>-7.2352245135477959</v>
      </c>
    </row>
    <row r="555" spans="1:34" x14ac:dyDescent="0.3">
      <c r="A555" s="347">
        <f t="shared" ca="1" si="238"/>
        <v>1E-4</v>
      </c>
      <c r="B555" s="304">
        <f t="shared" ca="1" si="239"/>
        <v>33.903200000000318</v>
      </c>
      <c r="D555" s="306">
        <f t="shared" ca="1" si="240"/>
        <v>-0.73618452034672255</v>
      </c>
      <c r="E555" s="307">
        <f t="shared" ca="1" si="241"/>
        <v>-2.6122877079339482</v>
      </c>
      <c r="F555" s="304">
        <f t="shared" ca="1" si="242"/>
        <v>2.7140402939199215</v>
      </c>
      <c r="G555" s="306">
        <f t="shared" ca="1" si="243"/>
        <v>12.583957983187894</v>
      </c>
      <c r="H555" s="307">
        <f t="shared" ca="1" si="244"/>
        <v>-123.03495761197156</v>
      </c>
      <c r="I555" s="304">
        <f t="shared" ca="1" si="245"/>
        <v>123.67682399343168</v>
      </c>
      <c r="J555" s="306">
        <f t="shared" ca="1" si="246"/>
        <v>780.60585379989482</v>
      </c>
      <c r="K555" s="307">
        <f t="shared" ca="1" si="247"/>
        <v>-3.6261724902802204</v>
      </c>
      <c r="L555" s="304">
        <f t="shared" ca="1" si="232"/>
        <v>780.61427614001013</v>
      </c>
      <c r="M555" s="306">
        <f t="shared" ca="1" si="248"/>
        <v>-1.4688712242338151</v>
      </c>
      <c r="N555" s="304">
        <f t="shared" ca="1" si="249"/>
        <v>-84.160121796811978</v>
      </c>
      <c r="P555" s="310">
        <f t="shared" ca="1" si="250"/>
        <v>23</v>
      </c>
      <c r="Q555" s="304">
        <f t="shared" ca="1" si="251"/>
        <v>0</v>
      </c>
      <c r="R555" s="306">
        <f t="shared" ca="1" si="252"/>
        <v>0</v>
      </c>
      <c r="S555" s="307">
        <f t="shared" ca="1" si="253"/>
        <v>8.0499999999999989</v>
      </c>
      <c r="T555" s="304">
        <f t="shared" ca="1" si="233"/>
        <v>78.970499999999987</v>
      </c>
      <c r="U555" s="311">
        <f t="shared" ca="1" si="234"/>
        <v>0</v>
      </c>
      <c r="V555" s="306">
        <f t="shared" ca="1" si="235"/>
        <v>1.2254442866830666</v>
      </c>
      <c r="W555" s="304">
        <f t="shared" ca="1" si="236"/>
        <v>58.244176082731393</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2.5238236448228752</v>
      </c>
      <c r="AH555" s="304">
        <f t="shared" ca="1" si="260"/>
        <v>-7.2352629452810406</v>
      </c>
    </row>
    <row r="556" spans="1:34" x14ac:dyDescent="0.3">
      <c r="A556" s="347">
        <f t="shared" ca="1" si="238"/>
        <v>1E-4</v>
      </c>
      <c r="B556" s="304">
        <f t="shared" ca="1" si="239"/>
        <v>33.903300000000321</v>
      </c>
      <c r="D556" s="306">
        <f t="shared" ca="1" si="240"/>
        <v>-0.73618262161545389</v>
      </c>
      <c r="E556" s="307">
        <f t="shared" ca="1" si="241"/>
        <v>-2.612248881779732</v>
      </c>
      <c r="F556" s="304">
        <f t="shared" ca="1" si="242"/>
        <v>2.7140024083865626</v>
      </c>
      <c r="G556" s="306">
        <f t="shared" ca="1" si="243"/>
        <v>12.583884364925732</v>
      </c>
      <c r="H556" s="307">
        <f t="shared" ca="1" si="244"/>
        <v>-123.03521883685974</v>
      </c>
      <c r="I556" s="304">
        <f t="shared" ca="1" si="245"/>
        <v>123.67707637207386</v>
      </c>
      <c r="J556" s="306">
        <f t="shared" ca="1" si="246"/>
        <v>780.60585379989482</v>
      </c>
      <c r="K556" s="307">
        <f t="shared" ca="1" si="247"/>
        <v>-3.6384759991026621</v>
      </c>
      <c r="L556" s="304">
        <f t="shared" ca="1" si="232"/>
        <v>780.61433339022085</v>
      </c>
      <c r="M556" s="306">
        <f t="shared" ca="1" si="248"/>
        <v>-1.4688720312992218</v>
      </c>
      <c r="N556" s="304">
        <f t="shared" ca="1" si="249"/>
        <v>-84.160168038253573</v>
      </c>
      <c r="P556" s="310">
        <f t="shared" ca="1" si="250"/>
        <v>23</v>
      </c>
      <c r="Q556" s="304">
        <f t="shared" ca="1" si="251"/>
        <v>0</v>
      </c>
      <c r="R556" s="306">
        <f t="shared" ca="1" si="252"/>
        <v>0</v>
      </c>
      <c r="S556" s="307">
        <f t="shared" ca="1" si="253"/>
        <v>8.0499999999999989</v>
      </c>
      <c r="T556" s="304">
        <f t="shared" ca="1" si="233"/>
        <v>78.970499999999987</v>
      </c>
      <c r="U556" s="311">
        <f t="shared" ca="1" si="234"/>
        <v>0</v>
      </c>
      <c r="V556" s="306">
        <f t="shared" ca="1" si="235"/>
        <v>1.2254457944105033</v>
      </c>
      <c r="W556" s="304">
        <f t="shared" ca="1" si="236"/>
        <v>58.244485453716912</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2.5237860189545644</v>
      </c>
      <c r="AH556" s="304">
        <f t="shared" ca="1" si="260"/>
        <v>-7.2353013767368202</v>
      </c>
    </row>
    <row r="557" spans="1:34" x14ac:dyDescent="0.3">
      <c r="A557" s="347">
        <f t="shared" ca="1" si="238"/>
        <v>1E-4</v>
      </c>
      <c r="B557" s="304">
        <f t="shared" ca="1" si="239"/>
        <v>33.903400000000325</v>
      </c>
      <c r="D557" s="306">
        <f t="shared" ca="1" si="240"/>
        <v>-0.73618072285145608</v>
      </c>
      <c r="E557" s="307">
        <f t="shared" ca="1" si="241"/>
        <v>-2.6122100559058081</v>
      </c>
      <c r="F557" s="304">
        <f t="shared" ca="1" si="242"/>
        <v>2.7139645231420246</v>
      </c>
      <c r="G557" s="306">
        <f t="shared" ca="1" si="243"/>
        <v>12.583810746853446</v>
      </c>
      <c r="H557" s="307">
        <f t="shared" ca="1" si="244"/>
        <v>-123.03548005786533</v>
      </c>
      <c r="I557" s="304">
        <f t="shared" ca="1" si="245"/>
        <v>123.67732874695346</v>
      </c>
      <c r="J557" s="306">
        <f t="shared" ca="1" si="246"/>
        <v>780.60585379989482</v>
      </c>
      <c r="K557" s="307">
        <f t="shared" ca="1" si="247"/>
        <v>-3.6507795340473983</v>
      </c>
      <c r="L557" s="304">
        <f t="shared" ca="1" si="232"/>
        <v>780.61439083446885</v>
      </c>
      <c r="M557" s="306">
        <f t="shared" ca="1" si="248"/>
        <v>-1.4688728383566132</v>
      </c>
      <c r="N557" s="304">
        <f t="shared" ca="1" si="249"/>
        <v>-84.160214279235916</v>
      </c>
      <c r="P557" s="310">
        <f t="shared" ca="1" si="250"/>
        <v>23</v>
      </c>
      <c r="Q557" s="304">
        <f t="shared" ca="1" si="251"/>
        <v>0</v>
      </c>
      <c r="R557" s="306">
        <f t="shared" ca="1" si="252"/>
        <v>0</v>
      </c>
      <c r="S557" s="307">
        <f t="shared" ca="1" si="253"/>
        <v>8.0499999999999989</v>
      </c>
      <c r="T557" s="304">
        <f t="shared" ca="1" si="233"/>
        <v>78.970499999999987</v>
      </c>
      <c r="U557" s="311">
        <f t="shared" ca="1" si="234"/>
        <v>0</v>
      </c>
      <c r="V557" s="306">
        <f t="shared" ca="1" si="235"/>
        <v>1.2254473021429964</v>
      </c>
      <c r="W557" s="304">
        <f t="shared" ca="1" si="236"/>
        <v>58.244794822468869</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2.5237483933493516</v>
      </c>
      <c r="AH557" s="304">
        <f t="shared" ca="1" si="260"/>
        <v>-7.2353398079151452</v>
      </c>
    </row>
    <row r="558" spans="1:34" x14ac:dyDescent="0.3">
      <c r="A558" s="347">
        <f t="shared" ca="1" si="238"/>
        <v>1E-4</v>
      </c>
      <c r="B558" s="304">
        <f t="shared" ca="1" si="239"/>
        <v>33.903500000000328</v>
      </c>
      <c r="D558" s="306">
        <f t="shared" ca="1" si="240"/>
        <v>-0.73617882405473012</v>
      </c>
      <c r="E558" s="307">
        <f t="shared" ca="1" si="241"/>
        <v>-2.6121712303121827</v>
      </c>
      <c r="F558" s="304">
        <f t="shared" ca="1" si="242"/>
        <v>2.7139266381863139</v>
      </c>
      <c r="G558" s="306">
        <f t="shared" ca="1" si="243"/>
        <v>12.583737128971041</v>
      </c>
      <c r="H558" s="307">
        <f t="shared" ca="1" si="244"/>
        <v>-123.03574127498835</v>
      </c>
      <c r="I558" s="304">
        <f t="shared" ca="1" si="245"/>
        <v>123.67758111807053</v>
      </c>
      <c r="J558" s="306">
        <f t="shared" ca="1" si="246"/>
        <v>780.60585379989482</v>
      </c>
      <c r="K558" s="307">
        <f t="shared" ca="1" si="247"/>
        <v>-3.663083095114041</v>
      </c>
      <c r="L558" s="304">
        <f t="shared" ca="1" si="232"/>
        <v>780.61444847275561</v>
      </c>
      <c r="M558" s="306">
        <f t="shared" ca="1" si="248"/>
        <v>-1.4688736454059896</v>
      </c>
      <c r="N558" s="304">
        <f t="shared" ca="1" si="249"/>
        <v>-84.160260519759049</v>
      </c>
      <c r="P558" s="310">
        <f t="shared" ca="1" si="250"/>
        <v>23</v>
      </c>
      <c r="Q558" s="304">
        <f t="shared" ca="1" si="251"/>
        <v>0</v>
      </c>
      <c r="R558" s="306">
        <f t="shared" ca="1" si="252"/>
        <v>0</v>
      </c>
      <c r="S558" s="307">
        <f t="shared" ca="1" si="253"/>
        <v>8.0499999999999989</v>
      </c>
      <c r="T558" s="304">
        <f t="shared" ca="1" si="233"/>
        <v>78.970499999999987</v>
      </c>
      <c r="U558" s="311">
        <f t="shared" ca="1" si="234"/>
        <v>0</v>
      </c>
      <c r="V558" s="306">
        <f t="shared" ca="1" si="235"/>
        <v>1.2254488098805461</v>
      </c>
      <c r="W558" s="304">
        <f t="shared" ca="1" si="236"/>
        <v>58.245104188987277</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2.5237107680072413</v>
      </c>
      <c r="AH558" s="304">
        <f t="shared" ca="1" si="260"/>
        <v>-7.2353782388160095</v>
      </c>
    </row>
    <row r="559" spans="1:34" x14ac:dyDescent="0.3">
      <c r="A559" s="347">
        <f t="shared" ca="1" si="238"/>
        <v>1E-4</v>
      </c>
      <c r="B559" s="304">
        <f t="shared" ca="1" si="239"/>
        <v>33.903600000000331</v>
      </c>
      <c r="D559" s="306">
        <f t="shared" ca="1" si="240"/>
        <v>-0.73617692522527456</v>
      </c>
      <c r="E559" s="307">
        <f t="shared" ca="1" si="241"/>
        <v>-2.612132404998853</v>
      </c>
      <c r="F559" s="304">
        <f t="shared" ca="1" si="242"/>
        <v>2.7138887535194272</v>
      </c>
      <c r="G559" s="306">
        <f t="shared" ca="1" si="243"/>
        <v>12.583663511278518</v>
      </c>
      <c r="H559" s="307">
        <f t="shared" ca="1" si="244"/>
        <v>-123.03600248822886</v>
      </c>
      <c r="I559" s="304">
        <f t="shared" ca="1" si="245"/>
        <v>123.67783348542511</v>
      </c>
      <c r="J559" s="306">
        <f t="shared" ca="1" si="246"/>
        <v>780.60585379989482</v>
      </c>
      <c r="K559" s="307">
        <f t="shared" ca="1" si="247"/>
        <v>-3.6753866823022019</v>
      </c>
      <c r="L559" s="304">
        <f t="shared" ca="1" si="232"/>
        <v>780.61450630508216</v>
      </c>
      <c r="M559" s="306">
        <f t="shared" ca="1" si="248"/>
        <v>-1.4688744524473509</v>
      </c>
      <c r="N559" s="304">
        <f t="shared" ca="1" si="249"/>
        <v>-84.160306759822944</v>
      </c>
      <c r="P559" s="310">
        <f t="shared" ca="1" si="250"/>
        <v>23</v>
      </c>
      <c r="Q559" s="304">
        <f t="shared" ca="1" si="251"/>
        <v>0</v>
      </c>
      <c r="R559" s="306">
        <f t="shared" ca="1" si="252"/>
        <v>0</v>
      </c>
      <c r="S559" s="307">
        <f t="shared" ca="1" si="253"/>
        <v>8.0499999999999989</v>
      </c>
      <c r="T559" s="304">
        <f t="shared" ca="1" si="233"/>
        <v>78.970499999999987</v>
      </c>
      <c r="U559" s="311">
        <f t="shared" ca="1" si="234"/>
        <v>0</v>
      </c>
      <c r="V559" s="306">
        <f t="shared" ca="1" si="235"/>
        <v>1.2254503176231519</v>
      </c>
      <c r="W559" s="304">
        <f t="shared" ca="1" si="236"/>
        <v>58.245413553272137</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2.5236731429282342</v>
      </c>
      <c r="AH559" s="304">
        <f t="shared" ca="1" si="260"/>
        <v>-7.235416669439414</v>
      </c>
    </row>
    <row r="560" spans="1:34" x14ac:dyDescent="0.3">
      <c r="A560" s="347">
        <f t="shared" ca="1" si="238"/>
        <v>1E-4</v>
      </c>
      <c r="B560" s="304">
        <f t="shared" ca="1" si="239"/>
        <v>33.903700000000335</v>
      </c>
      <c r="D560" s="306">
        <f t="shared" ca="1" si="240"/>
        <v>-0.73617502636309273</v>
      </c>
      <c r="E560" s="307">
        <f t="shared" ca="1" si="241"/>
        <v>-2.61209357996582</v>
      </c>
      <c r="F560" s="304">
        <f t="shared" ca="1" si="242"/>
        <v>2.7138508691413672</v>
      </c>
      <c r="G560" s="306">
        <f t="shared" ca="1" si="243"/>
        <v>12.583589893775882</v>
      </c>
      <c r="H560" s="307">
        <f t="shared" ca="1" si="244"/>
        <v>-123.03626369758686</v>
      </c>
      <c r="I560" s="304">
        <f t="shared" ca="1" si="245"/>
        <v>123.67808584901721</v>
      </c>
      <c r="J560" s="306">
        <f t="shared" ca="1" si="246"/>
        <v>780.60585379989482</v>
      </c>
      <c r="K560" s="307">
        <f t="shared" ca="1" si="247"/>
        <v>-3.6876902956114925</v>
      </c>
      <c r="L560" s="304">
        <f t="shared" ca="1" si="232"/>
        <v>780.61456433144974</v>
      </c>
      <c r="M560" s="306">
        <f t="shared" ca="1" si="248"/>
        <v>-1.4688752594806973</v>
      </c>
      <c r="N560" s="304">
        <f t="shared" ca="1" si="249"/>
        <v>-84.160352999427616</v>
      </c>
      <c r="P560" s="310">
        <f t="shared" ca="1" si="250"/>
        <v>23</v>
      </c>
      <c r="Q560" s="304">
        <f t="shared" ca="1" si="251"/>
        <v>0</v>
      </c>
      <c r="R560" s="306">
        <f t="shared" ca="1" si="252"/>
        <v>0</v>
      </c>
      <c r="S560" s="307">
        <f t="shared" ca="1" si="253"/>
        <v>8.0499999999999989</v>
      </c>
      <c r="T560" s="304">
        <f t="shared" ca="1" si="233"/>
        <v>78.970499999999987</v>
      </c>
      <c r="U560" s="311">
        <f t="shared" ca="1" si="234"/>
        <v>0</v>
      </c>
      <c r="V560" s="306">
        <f t="shared" ca="1" si="235"/>
        <v>1.225451825370814</v>
      </c>
      <c r="W560" s="304">
        <f t="shared" ca="1" si="236"/>
        <v>58.245722915323398</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2.5236355181123331</v>
      </c>
      <c r="AH560" s="304">
        <f t="shared" ca="1" si="260"/>
        <v>-7.2354550997853595</v>
      </c>
    </row>
    <row r="561" spans="1:34" x14ac:dyDescent="0.3">
      <c r="A561" s="347">
        <f t="shared" ca="1" si="238"/>
        <v>1E-4</v>
      </c>
      <c r="B561" s="304">
        <f t="shared" ca="1" si="239"/>
        <v>33.903800000000338</v>
      </c>
      <c r="D561" s="306">
        <f t="shared" ca="1" si="240"/>
        <v>-0.73617312746818375</v>
      </c>
      <c r="E561" s="307">
        <f t="shared" ca="1" si="241"/>
        <v>-2.6120547552130908</v>
      </c>
      <c r="F561" s="304">
        <f t="shared" ca="1" si="242"/>
        <v>2.7138129850521397</v>
      </c>
      <c r="G561" s="306">
        <f t="shared" ca="1" si="243"/>
        <v>12.583516276463135</v>
      </c>
      <c r="H561" s="307">
        <f t="shared" ca="1" si="244"/>
        <v>-123.03652490306239</v>
      </c>
      <c r="I561" s="304">
        <f t="shared" ca="1" si="245"/>
        <v>123.67833820884684</v>
      </c>
      <c r="J561" s="306">
        <f t="shared" ca="1" si="246"/>
        <v>780.60585379989482</v>
      </c>
      <c r="K561" s="307">
        <f t="shared" ca="1" si="247"/>
        <v>-3.6999939350415252</v>
      </c>
      <c r="L561" s="304">
        <f t="shared" ca="1" si="232"/>
        <v>780.6146225518595</v>
      </c>
      <c r="M561" s="306">
        <f t="shared" ca="1" si="248"/>
        <v>-1.468876066506029</v>
      </c>
      <c r="N561" s="304">
        <f t="shared" ca="1" si="249"/>
        <v>-84.160399238573078</v>
      </c>
      <c r="P561" s="310">
        <f t="shared" ca="1" si="250"/>
        <v>23</v>
      </c>
      <c r="Q561" s="304">
        <f t="shared" ca="1" si="251"/>
        <v>0</v>
      </c>
      <c r="R561" s="306">
        <f t="shared" ca="1" si="252"/>
        <v>0</v>
      </c>
      <c r="S561" s="307">
        <f t="shared" ca="1" si="253"/>
        <v>8.0499999999999989</v>
      </c>
      <c r="T561" s="304">
        <f t="shared" ca="1" si="233"/>
        <v>78.970499999999987</v>
      </c>
      <c r="U561" s="311">
        <f t="shared" ca="1" si="234"/>
        <v>0</v>
      </c>
      <c r="V561" s="306">
        <f t="shared" ca="1" si="235"/>
        <v>1.2254533331235333</v>
      </c>
      <c r="W561" s="304">
        <f t="shared" ca="1" si="236"/>
        <v>58.246032275141133</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2.523597893559538</v>
      </c>
      <c r="AH561" s="304">
        <f t="shared" ca="1" si="260"/>
        <v>-7.235493529853839</v>
      </c>
    </row>
    <row r="562" spans="1:34" x14ac:dyDescent="0.3">
      <c r="A562" s="347">
        <f t="shared" ca="1" si="238"/>
        <v>1E-4</v>
      </c>
      <c r="B562" s="304">
        <f t="shared" ca="1" si="239"/>
        <v>33.903900000000341</v>
      </c>
      <c r="D562" s="306">
        <f t="shared" ca="1" si="240"/>
        <v>-0.73617122854054873</v>
      </c>
      <c r="E562" s="307">
        <f t="shared" ca="1" si="241"/>
        <v>-2.6120159307406556</v>
      </c>
      <c r="F562" s="304">
        <f t="shared" ca="1" si="242"/>
        <v>2.7137751012517368</v>
      </c>
      <c r="G562" s="306">
        <f t="shared" ca="1" si="243"/>
        <v>12.58344265934028</v>
      </c>
      <c r="H562" s="307">
        <f t="shared" ca="1" si="244"/>
        <v>-123.03678610465546</v>
      </c>
      <c r="I562" s="304">
        <f t="shared" ca="1" si="245"/>
        <v>123.67859056491405</v>
      </c>
      <c r="J562" s="306">
        <f t="shared" ca="1" si="246"/>
        <v>780.60585379989482</v>
      </c>
      <c r="K562" s="307">
        <f t="shared" ca="1" si="247"/>
        <v>-3.7122976005919113</v>
      </c>
      <c r="L562" s="304">
        <f t="shared" ca="1" si="232"/>
        <v>780.61468096631268</v>
      </c>
      <c r="M562" s="306">
        <f t="shared" ca="1" si="248"/>
        <v>-1.4688768735233459</v>
      </c>
      <c r="N562" s="304">
        <f t="shared" ca="1" si="249"/>
        <v>-84.160445477259344</v>
      </c>
      <c r="P562" s="310">
        <f t="shared" ca="1" si="250"/>
        <v>23</v>
      </c>
      <c r="Q562" s="304">
        <f t="shared" ca="1" si="251"/>
        <v>0</v>
      </c>
      <c r="R562" s="306">
        <f t="shared" ca="1" si="252"/>
        <v>0</v>
      </c>
      <c r="S562" s="307">
        <f t="shared" ca="1" si="253"/>
        <v>8.0499999999999989</v>
      </c>
      <c r="T562" s="304">
        <f t="shared" ca="1" si="233"/>
        <v>78.970499999999987</v>
      </c>
      <c r="U562" s="311">
        <f t="shared" ca="1" si="234"/>
        <v>0</v>
      </c>
      <c r="V562" s="306">
        <f t="shared" ca="1" si="235"/>
        <v>1.2254548408813082</v>
      </c>
      <c r="W562" s="304">
        <f t="shared" ca="1" si="236"/>
        <v>58.246341632725255</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2.5235602692698444</v>
      </c>
      <c r="AH562" s="304">
        <f t="shared" ca="1" si="260"/>
        <v>-7.2355319596448622</v>
      </c>
    </row>
    <row r="563" spans="1:34" x14ac:dyDescent="0.3">
      <c r="A563" s="347">
        <f t="shared" ca="1" si="238"/>
        <v>1E-4</v>
      </c>
      <c r="B563" s="304">
        <f t="shared" ca="1" si="239"/>
        <v>33.904000000000345</v>
      </c>
      <c r="D563" s="306">
        <f t="shared" ca="1" si="240"/>
        <v>-0.73616932958018799</v>
      </c>
      <c r="E563" s="307">
        <f t="shared" ca="1" si="241"/>
        <v>-2.6119771065485251</v>
      </c>
      <c r="F563" s="304">
        <f t="shared" ca="1" si="242"/>
        <v>2.7137372177401682</v>
      </c>
      <c r="G563" s="306">
        <f t="shared" ca="1" si="243"/>
        <v>12.583369042407321</v>
      </c>
      <c r="H563" s="307">
        <f t="shared" ca="1" si="244"/>
        <v>-123.03704730236612</v>
      </c>
      <c r="I563" s="304">
        <f t="shared" ca="1" si="245"/>
        <v>123.67884291721884</v>
      </c>
      <c r="J563" s="306">
        <f t="shared" ca="1" si="246"/>
        <v>780.60585379989482</v>
      </c>
      <c r="K563" s="307">
        <f t="shared" ca="1" si="247"/>
        <v>-3.7246012922622622</v>
      </c>
      <c r="L563" s="304">
        <f t="shared" ca="1" si="232"/>
        <v>780.61473957481041</v>
      </c>
      <c r="M563" s="306">
        <f t="shared" ca="1" si="248"/>
        <v>-1.4688776805326484</v>
      </c>
      <c r="N563" s="304">
        <f t="shared" ca="1" si="249"/>
        <v>-84.160491715486401</v>
      </c>
      <c r="P563" s="310">
        <f t="shared" ca="1" si="250"/>
        <v>23</v>
      </c>
      <c r="Q563" s="304">
        <f t="shared" ca="1" si="251"/>
        <v>0</v>
      </c>
      <c r="R563" s="306">
        <f t="shared" ca="1" si="252"/>
        <v>0</v>
      </c>
      <c r="S563" s="307">
        <f t="shared" ca="1" si="253"/>
        <v>8.0499999999999989</v>
      </c>
      <c r="T563" s="304">
        <f t="shared" ca="1" si="233"/>
        <v>78.970499999999987</v>
      </c>
      <c r="U563" s="311">
        <f t="shared" ca="1" si="234"/>
        <v>0</v>
      </c>
      <c r="V563" s="306">
        <f t="shared" ca="1" si="235"/>
        <v>1.2254563486441399</v>
      </c>
      <c r="W563" s="304">
        <f t="shared" ca="1" si="236"/>
        <v>58.246650988075793</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2.5235226452432622</v>
      </c>
      <c r="AH563" s="304">
        <f t="shared" ca="1" si="260"/>
        <v>-7.2355703891584175</v>
      </c>
    </row>
    <row r="564" spans="1:34" x14ac:dyDescent="0.3">
      <c r="A564" s="347">
        <f t="shared" ca="1" si="238"/>
        <v>1E-4</v>
      </c>
      <c r="B564" s="304">
        <f t="shared" ca="1" si="239"/>
        <v>33.904100000000348</v>
      </c>
      <c r="D564" s="306">
        <f t="shared" ca="1" si="240"/>
        <v>-0.7361674305871021</v>
      </c>
      <c r="E564" s="307">
        <f t="shared" ca="1" si="241"/>
        <v>-2.6119382826366957</v>
      </c>
      <c r="F564" s="304">
        <f t="shared" ca="1" si="242"/>
        <v>2.7136993345174307</v>
      </c>
      <c r="G564" s="306">
        <f t="shared" ca="1" si="243"/>
        <v>12.583295425664263</v>
      </c>
      <c r="H564" s="307">
        <f t="shared" ca="1" si="244"/>
        <v>-123.03730849619438</v>
      </c>
      <c r="I564" s="304">
        <f t="shared" ca="1" si="245"/>
        <v>123.67909526576126</v>
      </c>
      <c r="J564" s="306">
        <f t="shared" ca="1" si="246"/>
        <v>780.60585379989482</v>
      </c>
      <c r="K564" s="307">
        <f t="shared" ca="1" si="247"/>
        <v>-3.7369050100521903</v>
      </c>
      <c r="L564" s="304">
        <f t="shared" ca="1" si="232"/>
        <v>780.61479837735385</v>
      </c>
      <c r="M564" s="306">
        <f t="shared" ca="1" si="248"/>
        <v>-1.4688784875339365</v>
      </c>
      <c r="N564" s="304">
        <f t="shared" ca="1" si="249"/>
        <v>-84.160537953254263</v>
      </c>
      <c r="P564" s="310">
        <f t="shared" ca="1" si="250"/>
        <v>23</v>
      </c>
      <c r="Q564" s="304">
        <f t="shared" ca="1" si="251"/>
        <v>0</v>
      </c>
      <c r="R564" s="306">
        <f t="shared" ca="1" si="252"/>
        <v>0</v>
      </c>
      <c r="S564" s="307">
        <f t="shared" ca="1" si="253"/>
        <v>8.0499999999999989</v>
      </c>
      <c r="T564" s="304">
        <f t="shared" ca="1" si="233"/>
        <v>78.970499999999987</v>
      </c>
      <c r="U564" s="311">
        <f t="shared" ca="1" si="234"/>
        <v>0</v>
      </c>
      <c r="V564" s="306">
        <f t="shared" ca="1" si="235"/>
        <v>1.2254578564120275</v>
      </c>
      <c r="W564" s="304">
        <f t="shared" ca="1" si="236"/>
        <v>58.246960341192718</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2.5234850214797904</v>
      </c>
      <c r="AH564" s="304">
        <f t="shared" ca="1" si="260"/>
        <v>-7.2356088183945095</v>
      </c>
    </row>
    <row r="565" spans="1:34" x14ac:dyDescent="0.3">
      <c r="A565" s="347">
        <f t="shared" ca="1" si="238"/>
        <v>1E-4</v>
      </c>
      <c r="B565" s="304">
        <f t="shared" ca="1" si="239"/>
        <v>33.904200000000351</v>
      </c>
      <c r="D565" s="306">
        <f t="shared" ca="1" si="240"/>
        <v>-0.73616553156129216</v>
      </c>
      <c r="E565" s="307">
        <f t="shared" ca="1" si="241"/>
        <v>-2.6118994590051701</v>
      </c>
      <c r="F565" s="304">
        <f t="shared" ca="1" si="242"/>
        <v>2.713661451583528</v>
      </c>
      <c r="G565" s="306">
        <f t="shared" ca="1" si="243"/>
        <v>12.583221809111107</v>
      </c>
      <c r="H565" s="307">
        <f t="shared" ca="1" si="244"/>
        <v>-123.03756968614029</v>
      </c>
      <c r="I565" s="304">
        <f t="shared" ca="1" si="245"/>
        <v>123.67934761054133</v>
      </c>
      <c r="J565" s="306">
        <f t="shared" ca="1" si="246"/>
        <v>780.60585379989482</v>
      </c>
      <c r="K565" s="307">
        <f t="shared" ca="1" si="247"/>
        <v>-3.749208753961307</v>
      </c>
      <c r="L565" s="304">
        <f t="shared" ca="1" si="232"/>
        <v>780.61485737394435</v>
      </c>
      <c r="M565" s="306">
        <f t="shared" ca="1" si="248"/>
        <v>-1.4688792945272102</v>
      </c>
      <c r="N565" s="304">
        <f t="shared" ca="1" si="249"/>
        <v>-84.160584190562943</v>
      </c>
      <c r="P565" s="310">
        <f t="shared" ca="1" si="250"/>
        <v>23</v>
      </c>
      <c r="Q565" s="304">
        <f t="shared" ca="1" si="251"/>
        <v>0</v>
      </c>
      <c r="R565" s="306">
        <f t="shared" ca="1" si="252"/>
        <v>0</v>
      </c>
      <c r="S565" s="307">
        <f t="shared" ca="1" si="253"/>
        <v>8.0499999999999989</v>
      </c>
      <c r="T565" s="304">
        <f t="shared" ca="1" si="233"/>
        <v>78.970499999999987</v>
      </c>
      <c r="U565" s="311">
        <f t="shared" ca="1" si="234"/>
        <v>0</v>
      </c>
      <c r="V565" s="306">
        <f t="shared" ca="1" si="235"/>
        <v>1.2254593641849716</v>
      </c>
      <c r="W565" s="304">
        <f t="shared" ca="1" si="236"/>
        <v>58.247269692076053</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2.5234473979794316</v>
      </c>
      <c r="AH565" s="304">
        <f t="shared" ca="1" si="260"/>
        <v>-7.2356472473531337</v>
      </c>
    </row>
    <row r="566" spans="1:34" x14ac:dyDescent="0.3">
      <c r="A566" s="347">
        <f t="shared" ca="1" si="238"/>
        <v>1E-4</v>
      </c>
      <c r="B566" s="304">
        <f t="shared" ca="1" si="239"/>
        <v>33.904300000000354</v>
      </c>
      <c r="D566" s="306">
        <f t="shared" ca="1" si="240"/>
        <v>-0.73616363250275862</v>
      </c>
      <c r="E566" s="307">
        <f t="shared" ca="1" si="241"/>
        <v>-2.6118606356539473</v>
      </c>
      <c r="F566" s="304">
        <f t="shared" ca="1" si="242"/>
        <v>2.7136235689384591</v>
      </c>
      <c r="G566" s="306">
        <f t="shared" ca="1" si="243"/>
        <v>12.583148192747856</v>
      </c>
      <c r="H566" s="307">
        <f t="shared" ca="1" si="244"/>
        <v>-123.03783087220386</v>
      </c>
      <c r="I566" s="304">
        <f t="shared" ca="1" si="245"/>
        <v>123.67959995155908</v>
      </c>
      <c r="J566" s="306">
        <f t="shared" ca="1" si="246"/>
        <v>780.60585379989482</v>
      </c>
      <c r="K566" s="307">
        <f t="shared" ca="1" si="247"/>
        <v>-3.7615125239892242</v>
      </c>
      <c r="L566" s="304">
        <f t="shared" ca="1" si="232"/>
        <v>780.61491656458293</v>
      </c>
      <c r="M566" s="306">
        <f t="shared" ca="1" si="248"/>
        <v>-1.4688801015124697</v>
      </c>
      <c r="N566" s="304">
        <f t="shared" ca="1" si="249"/>
        <v>-84.160630427412443</v>
      </c>
      <c r="P566" s="310">
        <f t="shared" ca="1" si="250"/>
        <v>23</v>
      </c>
      <c r="Q566" s="304">
        <f t="shared" ca="1" si="251"/>
        <v>0</v>
      </c>
      <c r="R566" s="306">
        <f t="shared" ca="1" si="252"/>
        <v>0</v>
      </c>
      <c r="S566" s="307">
        <f t="shared" ca="1" si="253"/>
        <v>8.0499999999999989</v>
      </c>
      <c r="T566" s="304">
        <f t="shared" ca="1" si="233"/>
        <v>78.970499999999987</v>
      </c>
      <c r="U566" s="311">
        <f t="shared" ca="1" si="234"/>
        <v>0</v>
      </c>
      <c r="V566" s="306">
        <f t="shared" ca="1" si="235"/>
        <v>1.225460871962972</v>
      </c>
      <c r="W566" s="304">
        <f t="shared" ca="1" si="236"/>
        <v>58.24757904072581</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2.5234097747421806</v>
      </c>
      <c r="AH566" s="304">
        <f t="shared" ca="1" si="260"/>
        <v>-7.2356856760342936</v>
      </c>
    </row>
    <row r="567" spans="1:34" x14ac:dyDescent="0.3">
      <c r="A567" s="347">
        <f t="shared" ca="1" si="238"/>
        <v>1E-4</v>
      </c>
      <c r="B567" s="304">
        <f t="shared" ca="1" si="239"/>
        <v>33.904400000000358</v>
      </c>
      <c r="D567" s="306">
        <f t="shared" ca="1" si="240"/>
        <v>-0.73616173341150293</v>
      </c>
      <c r="E567" s="307">
        <f t="shared" ca="1" si="241"/>
        <v>-2.6118218125830257</v>
      </c>
      <c r="F567" s="304">
        <f t="shared" ca="1" si="242"/>
        <v>2.7135856865822223</v>
      </c>
      <c r="G567" s="306">
        <f t="shared" ca="1" si="243"/>
        <v>12.583074576574516</v>
      </c>
      <c r="H567" s="307">
        <f t="shared" ca="1" si="244"/>
        <v>-123.03809205438512</v>
      </c>
      <c r="I567" s="304">
        <f t="shared" ca="1" si="245"/>
        <v>123.67985228881453</v>
      </c>
      <c r="J567" s="306">
        <f t="shared" ca="1" si="246"/>
        <v>780.60585379989482</v>
      </c>
      <c r="K567" s="307">
        <f t="shared" ca="1" si="247"/>
        <v>-3.7738163201355537</v>
      </c>
      <c r="L567" s="304">
        <f t="shared" ca="1" si="232"/>
        <v>780.61497594927096</v>
      </c>
      <c r="M567" s="306">
        <f t="shared" ca="1" si="248"/>
        <v>-1.4688809084897152</v>
      </c>
      <c r="N567" s="304">
        <f t="shared" ca="1" si="249"/>
        <v>-84.160676663802775</v>
      </c>
      <c r="P567" s="310">
        <f t="shared" ca="1" si="250"/>
        <v>23</v>
      </c>
      <c r="Q567" s="304">
        <f t="shared" ca="1" si="251"/>
        <v>0</v>
      </c>
      <c r="R567" s="306">
        <f t="shared" ca="1" si="252"/>
        <v>0</v>
      </c>
      <c r="S567" s="307">
        <f t="shared" ca="1" si="253"/>
        <v>8.0499999999999989</v>
      </c>
      <c r="T567" s="304">
        <f t="shared" ca="1" si="233"/>
        <v>78.970499999999987</v>
      </c>
      <c r="U567" s="311">
        <f t="shared" ca="1" si="234"/>
        <v>0</v>
      </c>
      <c r="V567" s="306">
        <f t="shared" ca="1" si="235"/>
        <v>1.2254623797460282</v>
      </c>
      <c r="W567" s="304">
        <f t="shared" ca="1" si="236"/>
        <v>58.247888387141899</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2.5233721517680401</v>
      </c>
      <c r="AH567" s="304">
        <f t="shared" ca="1" si="260"/>
        <v>-7.2357241044379901</v>
      </c>
    </row>
    <row r="568" spans="1:34" x14ac:dyDescent="0.3">
      <c r="A568" s="347">
        <f t="shared" ca="1" si="238"/>
        <v>1E-4</v>
      </c>
      <c r="B568" s="304">
        <f t="shared" ca="1" si="239"/>
        <v>33.904500000000361</v>
      </c>
      <c r="D568" s="306">
        <f t="shared" ca="1" si="240"/>
        <v>-0.73615983428752418</v>
      </c>
      <c r="E568" s="307">
        <f t="shared" ca="1" si="241"/>
        <v>-2.6117829897924159</v>
      </c>
      <c r="F568" s="304">
        <f t="shared" ca="1" si="242"/>
        <v>2.7135478045148287</v>
      </c>
      <c r="G568" s="306">
        <f t="shared" ca="1" si="243"/>
        <v>12.583000960591088</v>
      </c>
      <c r="H568" s="307">
        <f t="shared" ca="1" si="244"/>
        <v>-123.0383532326841</v>
      </c>
      <c r="I568" s="304">
        <f t="shared" ca="1" si="245"/>
        <v>123.68010462230771</v>
      </c>
      <c r="J568" s="306">
        <f t="shared" ca="1" si="246"/>
        <v>780.60585379989482</v>
      </c>
      <c r="K568" s="307">
        <f t="shared" ca="1" si="247"/>
        <v>-3.7861201423999074</v>
      </c>
      <c r="L568" s="304">
        <f t="shared" ca="1" si="232"/>
        <v>780.61503552800934</v>
      </c>
      <c r="M568" s="306">
        <f t="shared" ca="1" si="248"/>
        <v>-1.4688817154589469</v>
      </c>
      <c r="N568" s="304">
        <f t="shared" ca="1" si="249"/>
        <v>-84.16072289973394</v>
      </c>
      <c r="P568" s="310">
        <f t="shared" ca="1" si="250"/>
        <v>23</v>
      </c>
      <c r="Q568" s="304">
        <f t="shared" ca="1" si="251"/>
        <v>0</v>
      </c>
      <c r="R568" s="306">
        <f t="shared" ca="1" si="252"/>
        <v>0</v>
      </c>
      <c r="S568" s="307">
        <f t="shared" ca="1" si="253"/>
        <v>8.0499999999999989</v>
      </c>
      <c r="T568" s="304">
        <f t="shared" ca="1" si="233"/>
        <v>78.970499999999987</v>
      </c>
      <c r="U568" s="311">
        <f t="shared" ca="1" si="234"/>
        <v>0</v>
      </c>
      <c r="V568" s="306">
        <f t="shared" ca="1" si="235"/>
        <v>1.2254638875341406</v>
      </c>
      <c r="W568" s="304">
        <f t="shared" ca="1" si="236"/>
        <v>58.248197731324396</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2.5233345290570215</v>
      </c>
      <c r="AH568" s="304">
        <f t="shared" ca="1" si="260"/>
        <v>-7.2357625325642116</v>
      </c>
    </row>
    <row r="569" spans="1:34" x14ac:dyDescent="0.3">
      <c r="A569" s="347">
        <f t="shared" ca="1" si="238"/>
        <v>1E-4</v>
      </c>
      <c r="B569" s="304">
        <f t="shared" ca="1" si="239"/>
        <v>33.904600000000364</v>
      </c>
      <c r="D569" s="306">
        <f t="shared" ca="1" si="240"/>
        <v>-0.73615793513082328</v>
      </c>
      <c r="E569" s="307">
        <f t="shared" ca="1" si="241"/>
        <v>-2.6117441672821062</v>
      </c>
      <c r="F569" s="304">
        <f t="shared" ca="1" si="242"/>
        <v>2.7135099227362667</v>
      </c>
      <c r="G569" s="306">
        <f t="shared" ca="1" si="243"/>
        <v>12.582927344797575</v>
      </c>
      <c r="H569" s="307">
        <f t="shared" ca="1" si="244"/>
        <v>-123.03861440710082</v>
      </c>
      <c r="I569" s="304">
        <f t="shared" ca="1" si="245"/>
        <v>123.68035695203864</v>
      </c>
      <c r="J569" s="306">
        <f t="shared" ca="1" si="246"/>
        <v>780.60585379989482</v>
      </c>
      <c r="K569" s="307">
        <f t="shared" ca="1" si="247"/>
        <v>-3.7984239907818966</v>
      </c>
      <c r="L569" s="304">
        <f t="shared" ca="1" si="232"/>
        <v>780.61509530079968</v>
      </c>
      <c r="M569" s="306">
        <f t="shared" ca="1" si="248"/>
        <v>-1.4688825224201645</v>
      </c>
      <c r="N569" s="304">
        <f t="shared" ca="1" si="249"/>
        <v>-84.160769135205939</v>
      </c>
      <c r="P569" s="310">
        <f t="shared" ca="1" si="250"/>
        <v>23</v>
      </c>
      <c r="Q569" s="304">
        <f t="shared" ca="1" si="251"/>
        <v>0</v>
      </c>
      <c r="R569" s="306">
        <f t="shared" ca="1" si="252"/>
        <v>0</v>
      </c>
      <c r="S569" s="307">
        <f t="shared" ca="1" si="253"/>
        <v>8.0499999999999989</v>
      </c>
      <c r="T569" s="304">
        <f t="shared" ca="1" si="233"/>
        <v>78.970499999999987</v>
      </c>
      <c r="U569" s="311">
        <f t="shared" ca="1" si="234"/>
        <v>0</v>
      </c>
      <c r="V569" s="306">
        <f t="shared" ca="1" si="235"/>
        <v>1.2254653953273098</v>
      </c>
      <c r="W569" s="304">
        <f t="shared" ca="1" si="236"/>
        <v>58.248507073273267</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2.5232969066091115</v>
      </c>
      <c r="AH569" s="304">
        <f t="shared" ca="1" si="260"/>
        <v>-7.2358009604129698</v>
      </c>
    </row>
    <row r="570" spans="1:34" x14ac:dyDescent="0.3">
      <c r="A570" s="347">
        <f t="shared" ca="1" si="238"/>
        <v>1E-4</v>
      </c>
      <c r="B570" s="304">
        <f t="shared" ca="1" si="239"/>
        <v>33.904700000000368</v>
      </c>
      <c r="D570" s="306">
        <f t="shared" ca="1" si="240"/>
        <v>-0.73615603594140311</v>
      </c>
      <c r="E570" s="307">
        <f t="shared" ca="1" si="241"/>
        <v>-2.6117053450521057</v>
      </c>
      <c r="F570" s="304">
        <f t="shared" ca="1" si="242"/>
        <v>2.7134720412465465</v>
      </c>
      <c r="G570" s="306">
        <f t="shared" ca="1" si="243"/>
        <v>12.582853729193982</v>
      </c>
      <c r="H570" s="307">
        <f t="shared" ca="1" si="244"/>
        <v>-123.03887557763532</v>
      </c>
      <c r="I570" s="304">
        <f t="shared" ca="1" si="245"/>
        <v>123.68060927800735</v>
      </c>
      <c r="J570" s="306">
        <f t="shared" ca="1" si="246"/>
        <v>780.60585379989482</v>
      </c>
      <c r="K570" s="307">
        <f t="shared" ca="1" si="247"/>
        <v>-3.8107278652811334</v>
      </c>
      <c r="L570" s="304">
        <f t="shared" ca="1" si="232"/>
        <v>780.61515526764265</v>
      </c>
      <c r="M570" s="306">
        <f t="shared" ca="1" si="248"/>
        <v>-1.4688833293733685</v>
      </c>
      <c r="N570" s="304">
        <f t="shared" ca="1" si="249"/>
        <v>-84.160815370218799</v>
      </c>
      <c r="P570" s="310">
        <f t="shared" ca="1" si="250"/>
        <v>23</v>
      </c>
      <c r="Q570" s="304">
        <f t="shared" ca="1" si="251"/>
        <v>0</v>
      </c>
      <c r="R570" s="306">
        <f t="shared" ca="1" si="252"/>
        <v>0</v>
      </c>
      <c r="S570" s="307">
        <f t="shared" ca="1" si="253"/>
        <v>8.0499999999999989</v>
      </c>
      <c r="T570" s="304">
        <f t="shared" ca="1" si="233"/>
        <v>78.970499999999987</v>
      </c>
      <c r="U570" s="311">
        <f t="shared" ca="1" si="234"/>
        <v>0</v>
      </c>
      <c r="V570" s="306">
        <f t="shared" ca="1" si="235"/>
        <v>1.2254669031255347</v>
      </c>
      <c r="W570" s="304">
        <f t="shared" ca="1" si="236"/>
        <v>58.248816412988504</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2.5232592844243174</v>
      </c>
      <c r="AH570" s="304">
        <f t="shared" ca="1" si="260"/>
        <v>-7.2358393879842575</v>
      </c>
    </row>
    <row r="571" spans="1:34" x14ac:dyDescent="0.3">
      <c r="A571" s="347">
        <f t="shared" ca="1" si="238"/>
        <v>1E-4</v>
      </c>
      <c r="B571" s="304">
        <f t="shared" ca="1" si="239"/>
        <v>33.904800000000371</v>
      </c>
      <c r="D571" s="306">
        <f t="shared" ca="1" si="240"/>
        <v>-0.73615413671926166</v>
      </c>
      <c r="E571" s="307">
        <f t="shared" ca="1" si="241"/>
        <v>-2.6116665231024108</v>
      </c>
      <c r="F571" s="304">
        <f t="shared" ca="1" si="242"/>
        <v>2.7134341600456637</v>
      </c>
      <c r="G571" s="306">
        <f t="shared" ca="1" si="243"/>
        <v>12.582780113780309</v>
      </c>
      <c r="H571" s="307">
        <f t="shared" ca="1" si="244"/>
        <v>-123.03913674428763</v>
      </c>
      <c r="I571" s="304">
        <f t="shared" ca="1" si="245"/>
        <v>123.68086160021387</v>
      </c>
      <c r="J571" s="306">
        <f t="shared" ca="1" si="246"/>
        <v>780.60585379989482</v>
      </c>
      <c r="K571" s="307">
        <f t="shared" ca="1" si="247"/>
        <v>-3.8230317658972295</v>
      </c>
      <c r="L571" s="304">
        <f t="shared" ca="1" si="232"/>
        <v>780.61521542853995</v>
      </c>
      <c r="M571" s="306">
        <f t="shared" ca="1" si="248"/>
        <v>-1.4688841363185592</v>
      </c>
      <c r="N571" s="304">
        <f t="shared" ca="1" si="249"/>
        <v>-84.160861604772521</v>
      </c>
      <c r="P571" s="310">
        <f t="shared" ca="1" si="250"/>
        <v>23</v>
      </c>
      <c r="Q571" s="304">
        <f t="shared" ca="1" si="251"/>
        <v>0</v>
      </c>
      <c r="R571" s="306">
        <f t="shared" ca="1" si="252"/>
        <v>0</v>
      </c>
      <c r="S571" s="307">
        <f t="shared" ca="1" si="253"/>
        <v>8.0499999999999989</v>
      </c>
      <c r="T571" s="304">
        <f t="shared" ca="1" si="233"/>
        <v>78.970499999999987</v>
      </c>
      <c r="U571" s="311">
        <f t="shared" ca="1" si="234"/>
        <v>0</v>
      </c>
      <c r="V571" s="306">
        <f t="shared" ca="1" si="235"/>
        <v>1.2254684109288154</v>
      </c>
      <c r="W571" s="304">
        <f t="shared" ca="1" si="236"/>
        <v>58.249125750470085</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2.5232216625026416</v>
      </c>
      <c r="AH571" s="304">
        <f t="shared" ca="1" si="260"/>
        <v>-7.2358778152780756</v>
      </c>
    </row>
    <row r="572" spans="1:34" x14ac:dyDescent="0.3">
      <c r="A572" s="347">
        <f t="shared" ca="1" si="238"/>
        <v>1E-4</v>
      </c>
      <c r="B572" s="304">
        <f t="shared" ca="1" si="239"/>
        <v>33.904900000000374</v>
      </c>
      <c r="D572" s="306">
        <f t="shared" ca="1" si="240"/>
        <v>-0.73615223746439906</v>
      </c>
      <c r="E572" s="307">
        <f t="shared" ca="1" si="241"/>
        <v>-2.6116277014330267</v>
      </c>
      <c r="F572" s="304">
        <f t="shared" ca="1" si="242"/>
        <v>2.7133962791336241</v>
      </c>
      <c r="G572" s="306">
        <f t="shared" ca="1" si="243"/>
        <v>12.582706498556563</v>
      </c>
      <c r="H572" s="307">
        <f t="shared" ca="1" si="244"/>
        <v>-123.03939790705778</v>
      </c>
      <c r="I572" s="304">
        <f t="shared" ca="1" si="245"/>
        <v>123.68111391865821</v>
      </c>
      <c r="J572" s="306">
        <f t="shared" ca="1" si="246"/>
        <v>780.60585379989482</v>
      </c>
      <c r="K572" s="307">
        <f t="shared" ca="1" si="247"/>
        <v>-3.8353356926297968</v>
      </c>
      <c r="L572" s="304">
        <f t="shared" ca="1" si="232"/>
        <v>780.61527578349239</v>
      </c>
      <c r="M572" s="306">
        <f t="shared" ca="1" si="248"/>
        <v>-1.468884943255736</v>
      </c>
      <c r="N572" s="304">
        <f t="shared" ca="1" si="249"/>
        <v>-84.160907838867089</v>
      </c>
      <c r="P572" s="310">
        <f t="shared" ca="1" si="250"/>
        <v>23</v>
      </c>
      <c r="Q572" s="304">
        <f t="shared" ca="1" si="251"/>
        <v>0</v>
      </c>
      <c r="R572" s="306">
        <f t="shared" ca="1" si="252"/>
        <v>0</v>
      </c>
      <c r="S572" s="307">
        <f t="shared" ca="1" si="253"/>
        <v>8.0499999999999989</v>
      </c>
      <c r="T572" s="304">
        <f t="shared" ca="1" si="233"/>
        <v>78.970499999999987</v>
      </c>
      <c r="U572" s="311">
        <f t="shared" ca="1" si="234"/>
        <v>0</v>
      </c>
      <c r="V572" s="306">
        <f t="shared" ca="1" si="235"/>
        <v>1.2254699187371527</v>
      </c>
      <c r="W572" s="304">
        <f t="shared" ca="1" si="236"/>
        <v>58.249435085718019</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2.5231840408440869</v>
      </c>
      <c r="AH572" s="304">
        <f t="shared" ca="1" si="260"/>
        <v>-7.2359162422944214</v>
      </c>
    </row>
    <row r="573" spans="1:34" x14ac:dyDescent="0.3">
      <c r="A573" s="347">
        <f t="shared" ca="1" si="238"/>
        <v>1E-4</v>
      </c>
      <c r="B573" s="304">
        <f t="shared" ca="1" si="239"/>
        <v>33.905000000000378</v>
      </c>
      <c r="D573" s="306">
        <f t="shared" ca="1" si="240"/>
        <v>-0.73615033817681985</v>
      </c>
      <c r="E573" s="307">
        <f t="shared" ca="1" si="241"/>
        <v>-2.6115888800439517</v>
      </c>
      <c r="F573" s="304">
        <f t="shared" ca="1" si="242"/>
        <v>2.7133583985104268</v>
      </c>
      <c r="G573" s="306">
        <f t="shared" ca="1" si="243"/>
        <v>12.582632883522745</v>
      </c>
      <c r="H573" s="307">
        <f t="shared" ca="1" si="244"/>
        <v>-123.03965906594578</v>
      </c>
      <c r="I573" s="304">
        <f t="shared" ca="1" si="245"/>
        <v>123.68136623334044</v>
      </c>
      <c r="J573" s="306">
        <f t="shared" ca="1" si="246"/>
        <v>780.60585379989482</v>
      </c>
      <c r="K573" s="307">
        <f t="shared" ca="1" si="247"/>
        <v>-3.8476396454784472</v>
      </c>
      <c r="L573" s="304">
        <f t="shared" ca="1" si="232"/>
        <v>780.61533633250133</v>
      </c>
      <c r="M573" s="306">
        <f t="shared" ca="1" si="248"/>
        <v>-1.4688857501848998</v>
      </c>
      <c r="N573" s="304">
        <f t="shared" ca="1" si="249"/>
        <v>-84.160954072502534</v>
      </c>
      <c r="P573" s="310">
        <f t="shared" ca="1" si="250"/>
        <v>23</v>
      </c>
      <c r="Q573" s="304">
        <f t="shared" ca="1" si="251"/>
        <v>0</v>
      </c>
      <c r="R573" s="306">
        <f t="shared" ca="1" si="252"/>
        <v>0</v>
      </c>
      <c r="S573" s="307">
        <f t="shared" ca="1" si="253"/>
        <v>8.0499999999999989</v>
      </c>
      <c r="T573" s="304">
        <f t="shared" ca="1" si="233"/>
        <v>78.970499999999987</v>
      </c>
      <c r="U573" s="311">
        <f t="shared" ca="1" si="234"/>
        <v>0</v>
      </c>
      <c r="V573" s="306">
        <f t="shared" ca="1" si="235"/>
        <v>1.2254714265505455</v>
      </c>
      <c r="W573" s="304">
        <f t="shared" ca="1" si="236"/>
        <v>58.249744418732313</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2.5231464194486497</v>
      </c>
      <c r="AH573" s="304">
        <f t="shared" ca="1" si="260"/>
        <v>-7.235954669033295</v>
      </c>
    </row>
    <row r="574" spans="1:34" x14ac:dyDescent="0.3">
      <c r="A574" s="347">
        <f t="shared" ca="1" si="238"/>
        <v>1E-4</v>
      </c>
      <c r="B574" s="304">
        <f t="shared" ca="1" si="239"/>
        <v>33.905100000000381</v>
      </c>
      <c r="D574" s="306">
        <f t="shared" ca="1" si="240"/>
        <v>-0.73614843885652115</v>
      </c>
      <c r="E574" s="307">
        <f t="shared" ca="1" si="241"/>
        <v>-2.611550058935185</v>
      </c>
      <c r="F574" s="304">
        <f t="shared" ca="1" si="242"/>
        <v>2.7133205181760709</v>
      </c>
      <c r="G574" s="306">
        <f t="shared" ca="1" si="243"/>
        <v>12.582559268678859</v>
      </c>
      <c r="H574" s="307">
        <f t="shared" ca="1" si="244"/>
        <v>-123.03992022095167</v>
      </c>
      <c r="I574" s="304">
        <f t="shared" ca="1" si="245"/>
        <v>123.68161854426053</v>
      </c>
      <c r="J574" s="306">
        <f t="shared" ca="1" si="246"/>
        <v>780.60585379989482</v>
      </c>
      <c r="K574" s="307">
        <f t="shared" ca="1" si="247"/>
        <v>-3.859943624442792</v>
      </c>
      <c r="L574" s="304">
        <f t="shared" ca="1" si="232"/>
        <v>780.6153970755679</v>
      </c>
      <c r="M574" s="306">
        <f t="shared" ca="1" si="248"/>
        <v>-1.4688865571060503</v>
      </c>
      <c r="N574" s="304">
        <f t="shared" ca="1" si="249"/>
        <v>-84.161000305678868</v>
      </c>
      <c r="P574" s="310">
        <f t="shared" ca="1" si="250"/>
        <v>23</v>
      </c>
      <c r="Q574" s="304">
        <f t="shared" ca="1" si="251"/>
        <v>0</v>
      </c>
      <c r="R574" s="306">
        <f t="shared" ca="1" si="252"/>
        <v>0</v>
      </c>
      <c r="S574" s="307">
        <f t="shared" ca="1" si="253"/>
        <v>8.0499999999999989</v>
      </c>
      <c r="T574" s="304">
        <f t="shared" ca="1" si="233"/>
        <v>78.970499999999987</v>
      </c>
      <c r="U574" s="311">
        <f t="shared" ca="1" si="234"/>
        <v>0</v>
      </c>
      <c r="V574" s="306">
        <f t="shared" ca="1" si="235"/>
        <v>1.2254729343689947</v>
      </c>
      <c r="W574" s="304">
        <f t="shared" ca="1" si="236"/>
        <v>58.250053749512936</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2.5231087983163318</v>
      </c>
      <c r="AH574" s="304">
        <f t="shared" ca="1" si="260"/>
        <v>-7.235993095494698</v>
      </c>
    </row>
    <row r="575" spans="1:34" x14ac:dyDescent="0.3">
      <c r="A575" s="347">
        <f t="shared" ca="1" si="238"/>
        <v>1E-4</v>
      </c>
      <c r="B575" s="304">
        <f t="shared" ca="1" si="239"/>
        <v>33.905200000000384</v>
      </c>
      <c r="D575" s="306">
        <f t="shared" ca="1" si="240"/>
        <v>-0.73614653950350406</v>
      </c>
      <c r="E575" s="307">
        <f t="shared" ca="1" si="241"/>
        <v>-2.61151123810673</v>
      </c>
      <c r="F575" s="304">
        <f t="shared" ca="1" si="242"/>
        <v>2.7132826381305595</v>
      </c>
      <c r="G575" s="306">
        <f t="shared" ca="1" si="243"/>
        <v>12.582485654024909</v>
      </c>
      <c r="H575" s="307">
        <f t="shared" ca="1" si="244"/>
        <v>-123.04018137207548</v>
      </c>
      <c r="I575" s="304">
        <f t="shared" ca="1" si="245"/>
        <v>123.68187085141852</v>
      </c>
      <c r="J575" s="306">
        <f t="shared" ca="1" si="246"/>
        <v>780.60585379989482</v>
      </c>
      <c r="K575" s="307">
        <f t="shared" ca="1" si="247"/>
        <v>-3.8722476295224433</v>
      </c>
      <c r="L575" s="304">
        <f t="shared" ca="1" si="232"/>
        <v>780.61545801269335</v>
      </c>
      <c r="M575" s="306">
        <f t="shared" ca="1" si="248"/>
        <v>-1.4688873640191877</v>
      </c>
      <c r="N575" s="304">
        <f t="shared" ca="1" si="249"/>
        <v>-84.161046538396079</v>
      </c>
      <c r="P575" s="310">
        <f t="shared" ca="1" si="250"/>
        <v>23</v>
      </c>
      <c r="Q575" s="304">
        <f t="shared" ca="1" si="251"/>
        <v>0</v>
      </c>
      <c r="R575" s="306">
        <f t="shared" ca="1" si="252"/>
        <v>0</v>
      </c>
      <c r="S575" s="307">
        <f t="shared" ca="1" si="253"/>
        <v>8.0499999999999989</v>
      </c>
      <c r="T575" s="304">
        <f t="shared" ca="1" si="233"/>
        <v>78.970499999999987</v>
      </c>
      <c r="U575" s="311">
        <f t="shared" ca="1" si="234"/>
        <v>0</v>
      </c>
      <c r="V575" s="306">
        <f t="shared" ca="1" si="235"/>
        <v>1.2254744421924992</v>
      </c>
      <c r="W575" s="304">
        <f t="shared" ca="1" si="236"/>
        <v>58.250363078059841</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2.5230711774471359</v>
      </c>
      <c r="AH575" s="304">
        <f t="shared" ca="1" si="260"/>
        <v>-7.2360315216786262</v>
      </c>
    </row>
    <row r="576" spans="1:34" x14ac:dyDescent="0.3">
      <c r="A576" s="347">
        <f t="shared" ca="1" si="238"/>
        <v>1E-4</v>
      </c>
      <c r="B576" s="304">
        <f t="shared" ca="1" si="239"/>
        <v>33.905300000000388</v>
      </c>
      <c r="D576" s="306">
        <f t="shared" ca="1" si="240"/>
        <v>-0.73614464011776959</v>
      </c>
      <c r="E576" s="307">
        <f t="shared" ca="1" si="241"/>
        <v>-2.6114724175585931</v>
      </c>
      <c r="F576" s="304">
        <f t="shared" ca="1" si="242"/>
        <v>2.7132447583739001</v>
      </c>
      <c r="G576" s="306">
        <f t="shared" ca="1" si="243"/>
        <v>12.582412039560896</v>
      </c>
      <c r="H576" s="307">
        <f t="shared" ca="1" si="244"/>
        <v>-123.04044251931724</v>
      </c>
      <c r="I576" s="304">
        <f t="shared" ca="1" si="245"/>
        <v>123.68212315481448</v>
      </c>
      <c r="J576" s="306">
        <f t="shared" ca="1" si="246"/>
        <v>780.60585379989482</v>
      </c>
      <c r="K576" s="307">
        <f t="shared" ca="1" si="247"/>
        <v>-3.8845516607170127</v>
      </c>
      <c r="L576" s="304">
        <f t="shared" ca="1" si="232"/>
        <v>780.61551914387883</v>
      </c>
      <c r="M576" s="306">
        <f t="shared" ca="1" si="248"/>
        <v>-1.4688881709243122</v>
      </c>
      <c r="N576" s="304">
        <f t="shared" ca="1" si="249"/>
        <v>-84.161092770654179</v>
      </c>
      <c r="P576" s="310">
        <f t="shared" ca="1" si="250"/>
        <v>23</v>
      </c>
      <c r="Q576" s="304">
        <f t="shared" ca="1" si="251"/>
        <v>0</v>
      </c>
      <c r="R576" s="306">
        <f t="shared" ca="1" si="252"/>
        <v>0</v>
      </c>
      <c r="S576" s="307">
        <f t="shared" ca="1" si="253"/>
        <v>8.0499999999999989</v>
      </c>
      <c r="T576" s="304">
        <f t="shared" ca="1" si="233"/>
        <v>78.970499999999987</v>
      </c>
      <c r="U576" s="311">
        <f t="shared" ca="1" si="234"/>
        <v>0</v>
      </c>
      <c r="V576" s="306">
        <f t="shared" ca="1" si="235"/>
        <v>1.2254759500210604</v>
      </c>
      <c r="W576" s="304">
        <f t="shared" ca="1" si="236"/>
        <v>58.250672404373134</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2.5230335568410709</v>
      </c>
      <c r="AH576" s="304">
        <f t="shared" ca="1" si="260"/>
        <v>-7.236069947585074</v>
      </c>
    </row>
    <row r="577" spans="1:34" x14ac:dyDescent="0.3">
      <c r="A577" s="347">
        <f t="shared" ca="1" si="238"/>
        <v>1E-4</v>
      </c>
      <c r="B577" s="304">
        <f t="shared" ca="1" si="239"/>
        <v>33.905400000000391</v>
      </c>
      <c r="D577" s="306">
        <f t="shared" ca="1" si="240"/>
        <v>-0.73614274069931918</v>
      </c>
      <c r="E577" s="307">
        <f t="shared" ca="1" si="241"/>
        <v>-2.6114335972907599</v>
      </c>
      <c r="F577" s="304">
        <f t="shared" ca="1" si="242"/>
        <v>2.7132068789060786</v>
      </c>
      <c r="G577" s="306">
        <f t="shared" ca="1" si="243"/>
        <v>12.582338425286826</v>
      </c>
      <c r="H577" s="307">
        <f t="shared" ca="1" si="244"/>
        <v>-123.04070366267696</v>
      </c>
      <c r="I577" s="304">
        <f t="shared" ca="1" si="245"/>
        <v>123.68237545444839</v>
      </c>
      <c r="J577" s="306">
        <f t="shared" ca="1" si="246"/>
        <v>780.60585379989482</v>
      </c>
      <c r="K577" s="307">
        <f t="shared" ca="1" si="247"/>
        <v>-3.8968557180261123</v>
      </c>
      <c r="L577" s="304">
        <f t="shared" ca="1" si="232"/>
        <v>780.61558046912558</v>
      </c>
      <c r="M577" s="306">
        <f t="shared" ca="1" si="248"/>
        <v>-1.4688889778214238</v>
      </c>
      <c r="N577" s="304">
        <f t="shared" ca="1" si="249"/>
        <v>-84.161139002453169</v>
      </c>
      <c r="P577" s="310">
        <f t="shared" ca="1" si="250"/>
        <v>23</v>
      </c>
      <c r="Q577" s="304">
        <f t="shared" ca="1" si="251"/>
        <v>0</v>
      </c>
      <c r="R577" s="306">
        <f t="shared" ca="1" si="252"/>
        <v>0</v>
      </c>
      <c r="S577" s="307">
        <f t="shared" ca="1" si="253"/>
        <v>8.0499999999999989</v>
      </c>
      <c r="T577" s="304">
        <f t="shared" ca="1" si="233"/>
        <v>78.970499999999987</v>
      </c>
      <c r="U577" s="311">
        <f t="shared" ca="1" si="234"/>
        <v>0</v>
      </c>
      <c r="V577" s="306">
        <f t="shared" ca="1" si="235"/>
        <v>1.225477457854677</v>
      </c>
      <c r="W577" s="304">
        <f t="shared" ca="1" si="236"/>
        <v>58.250981728452722</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2.5229959364981216</v>
      </c>
      <c r="AH577" s="304">
        <f t="shared" ca="1" si="260"/>
        <v>-7.236108373214055</v>
      </c>
    </row>
    <row r="578" spans="1:34" x14ac:dyDescent="0.3">
      <c r="A578" s="347">
        <f t="shared" ca="1" si="238"/>
        <v>1E-4</v>
      </c>
      <c r="B578" s="304">
        <f t="shared" ca="1" si="239"/>
        <v>33.905500000000394</v>
      </c>
      <c r="D578" s="306">
        <f t="shared" ca="1" si="240"/>
        <v>-0.73614084124815315</v>
      </c>
      <c r="E578" s="307">
        <f t="shared" ca="1" si="241"/>
        <v>-2.6113947773032438</v>
      </c>
      <c r="F578" s="304">
        <f t="shared" ca="1" si="242"/>
        <v>2.7131689997271082</v>
      </c>
      <c r="G578" s="306">
        <f t="shared" ca="1" si="243"/>
        <v>12.582264811202702</v>
      </c>
      <c r="H578" s="307">
        <f t="shared" ca="1" si="244"/>
        <v>-123.04096480215469</v>
      </c>
      <c r="I578" s="304">
        <f t="shared" ca="1" si="245"/>
        <v>123.68262775032029</v>
      </c>
      <c r="J578" s="306">
        <f t="shared" ca="1" si="246"/>
        <v>780.60585379989482</v>
      </c>
      <c r="K578" s="307">
        <f t="shared" ca="1" si="247"/>
        <v>-3.9091598014493538</v>
      </c>
      <c r="L578" s="304">
        <f t="shared" ca="1" si="232"/>
        <v>780.61564198843462</v>
      </c>
      <c r="M578" s="306">
        <f t="shared" ca="1" si="248"/>
        <v>-1.4688897847105225</v>
      </c>
      <c r="N578" s="304">
        <f t="shared" ca="1" si="249"/>
        <v>-84.161185233793063</v>
      </c>
      <c r="P578" s="310">
        <f t="shared" ca="1" si="250"/>
        <v>23</v>
      </c>
      <c r="Q578" s="304">
        <f t="shared" ca="1" si="251"/>
        <v>0</v>
      </c>
      <c r="R578" s="306">
        <f t="shared" ca="1" si="252"/>
        <v>0</v>
      </c>
      <c r="S578" s="307">
        <f t="shared" ca="1" si="253"/>
        <v>8.0499999999999989</v>
      </c>
      <c r="T578" s="304">
        <f t="shared" ca="1" si="233"/>
        <v>78.970499999999987</v>
      </c>
      <c r="U578" s="311">
        <f t="shared" ca="1" si="234"/>
        <v>0</v>
      </c>
      <c r="V578" s="306">
        <f t="shared" ca="1" si="235"/>
        <v>1.2254789656933494</v>
      </c>
      <c r="W578" s="304">
        <f t="shared" ca="1" si="236"/>
        <v>58.251291050298612</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2.5229583164182987</v>
      </c>
      <c r="AH578" s="304">
        <f t="shared" ca="1" si="260"/>
        <v>-7.2361467985655565</v>
      </c>
    </row>
    <row r="579" spans="1:34" x14ac:dyDescent="0.3">
      <c r="A579" s="347">
        <f t="shared" ca="1" si="238"/>
        <v>1E-4</v>
      </c>
      <c r="B579" s="304">
        <f t="shared" ca="1" si="239"/>
        <v>33.905600000000398</v>
      </c>
      <c r="D579" s="306">
        <f t="shared" ca="1" si="240"/>
        <v>-0.73613894176427308</v>
      </c>
      <c r="E579" s="307">
        <f t="shared" ca="1" si="241"/>
        <v>-2.6113559575960448</v>
      </c>
      <c r="F579" s="304">
        <f t="shared" ca="1" si="242"/>
        <v>2.7131311208369895</v>
      </c>
      <c r="G579" s="306">
        <f t="shared" ca="1" si="243"/>
        <v>12.582191197308525</v>
      </c>
      <c r="H579" s="307">
        <f t="shared" ca="1" si="244"/>
        <v>-123.04122593775045</v>
      </c>
      <c r="I579" s="304">
        <f t="shared" ca="1" si="245"/>
        <v>123.68288004243023</v>
      </c>
      <c r="J579" s="306">
        <f t="shared" ca="1" si="246"/>
        <v>780.60585379989482</v>
      </c>
      <c r="K579" s="307">
        <f t="shared" ca="1" si="247"/>
        <v>-3.9214639109863492</v>
      </c>
      <c r="L579" s="304">
        <f t="shared" ca="1" si="232"/>
        <v>780.61570370180732</v>
      </c>
      <c r="M579" s="306">
        <f t="shared" ca="1" si="248"/>
        <v>-1.4688905915916086</v>
      </c>
      <c r="N579" s="304">
        <f t="shared" ca="1" si="249"/>
        <v>-84.161231464673861</v>
      </c>
      <c r="P579" s="310">
        <f t="shared" ca="1" si="250"/>
        <v>23</v>
      </c>
      <c r="Q579" s="304">
        <f t="shared" ca="1" si="251"/>
        <v>0</v>
      </c>
      <c r="R579" s="306">
        <f t="shared" ca="1" si="252"/>
        <v>0</v>
      </c>
      <c r="S579" s="307">
        <f t="shared" ca="1" si="253"/>
        <v>8.0499999999999989</v>
      </c>
      <c r="T579" s="304">
        <f t="shared" ca="1" si="233"/>
        <v>78.970499999999987</v>
      </c>
      <c r="U579" s="311">
        <f t="shared" ca="1" si="234"/>
        <v>0</v>
      </c>
      <c r="V579" s="306">
        <f t="shared" ca="1" si="235"/>
        <v>1.2254804735370775</v>
      </c>
      <c r="W579" s="304">
        <f t="shared" ca="1" si="236"/>
        <v>58.251600369910811</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2.5229206966016049</v>
      </c>
      <c r="AH579" s="304">
        <f t="shared" ca="1" si="260"/>
        <v>-7.2361852236395796</v>
      </c>
    </row>
    <row r="580" spans="1:34" x14ac:dyDescent="0.3">
      <c r="A580" s="347">
        <f t="shared" ca="1" si="238"/>
        <v>1E-4</v>
      </c>
      <c r="B580" s="304">
        <f t="shared" ca="1" si="239"/>
        <v>33.905700000000401</v>
      </c>
      <c r="D580" s="306">
        <f t="shared" ca="1" si="240"/>
        <v>-0.73613704224767784</v>
      </c>
      <c r="E580" s="307">
        <f t="shared" ca="1" si="241"/>
        <v>-2.6113171381691576</v>
      </c>
      <c r="F580" s="304">
        <f t="shared" ca="1" si="242"/>
        <v>2.7130932422357179</v>
      </c>
      <c r="G580" s="306">
        <f t="shared" ca="1" si="243"/>
        <v>12.582117583604299</v>
      </c>
      <c r="H580" s="307">
        <f t="shared" ca="1" si="244"/>
        <v>-123.04148706946427</v>
      </c>
      <c r="I580" s="304">
        <f t="shared" ca="1" si="245"/>
        <v>123.68313233077818</v>
      </c>
      <c r="J580" s="306">
        <f t="shared" ca="1" si="246"/>
        <v>780.60585379989482</v>
      </c>
      <c r="K580" s="307">
        <f t="shared" ca="1" si="247"/>
        <v>-3.9337680466367098</v>
      </c>
      <c r="L580" s="304">
        <f t="shared" ref="L580:L643" ca="1" si="261">SQRT(pos_x^2+pos_z^2)</f>
        <v>780.61576560924482</v>
      </c>
      <c r="M580" s="306">
        <f t="shared" ca="1" si="248"/>
        <v>-1.4688913984646825</v>
      </c>
      <c r="N580" s="304">
        <f t="shared" ca="1" si="249"/>
        <v>-84.161277695095606</v>
      </c>
      <c r="P580" s="310">
        <f t="shared" ca="1" si="250"/>
        <v>23</v>
      </c>
      <c r="Q580" s="304">
        <f t="shared" ca="1" si="251"/>
        <v>0</v>
      </c>
      <c r="R580" s="306">
        <f t="shared" ca="1" si="252"/>
        <v>0</v>
      </c>
      <c r="S580" s="307">
        <f t="shared" ca="1" si="253"/>
        <v>8.0499999999999989</v>
      </c>
      <c r="T580" s="304">
        <f t="shared" ref="T580:T643" ca="1" si="262">m*g</f>
        <v>78.970499999999987</v>
      </c>
      <c r="U580" s="311">
        <f t="shared" ref="U580:U643" ca="1" si="263">IF(pos_xz&lt;L_rampe,Poids*COS(Beta),0)</f>
        <v>0</v>
      </c>
      <c r="V580" s="306">
        <f t="shared" ref="V580:V643" ca="1" si="264">Rho_moyen*(20000-Alt_rampe-pos_z)/(20000+Alt_rampe+pos_z)</f>
        <v>1.225481981385862</v>
      </c>
      <c r="W580" s="304">
        <f t="shared" ref="W580:W643" ca="1" si="265">1/2*Rho*Sref*Cx*vit_xz^2</f>
        <v>58.25190968728932</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2.5228830770480375</v>
      </c>
      <c r="AH580" s="304">
        <f t="shared" ca="1" si="260"/>
        <v>-7.2362236484361269</v>
      </c>
    </row>
    <row r="581" spans="1:34" x14ac:dyDescent="0.3">
      <c r="A581" s="347">
        <f t="shared" ref="A581:A644" ca="1" si="267">IF(B580+0.01&lt;=T_ini+ROUNDUP(Temps_fin_propu,0), 0.01, IF(K580&gt;0, 0.1, 0.0001))</f>
        <v>1E-4</v>
      </c>
      <c r="B581" s="304">
        <f t="shared" ref="B581:B644" ca="1" si="268">B580+pas</f>
        <v>33.905800000000404</v>
      </c>
      <c r="D581" s="306">
        <f t="shared" ref="D581:D644" ca="1" si="269">IF(AND(L580&lt;L_rampe,Poussee&lt;Poids*SIN(M580)),0,(-W580+Poussee)/m*COS(M580)-U580/m*SIN(M580))</f>
        <v>-0.736135142698367</v>
      </c>
      <c r="E581" s="307">
        <f t="shared" ref="E581:E644" ca="1" si="270">IF(AND(L580&lt;L_rampe,Poussee&lt;Poids*SIN(M580)),0,(-W580+Poussee)/m*SIN(M580)+U580/m*COS(M580)-Poids/m)</f>
        <v>-2.6112783190225874</v>
      </c>
      <c r="F581" s="304">
        <f t="shared" ref="F581:F644" ca="1" si="271">SQRT(acc_x^2+acc_z^2)</f>
        <v>2.7130553639232975</v>
      </c>
      <c r="G581" s="306">
        <f t="shared" ref="G581:G644" ca="1" si="272">G580+acc_x*pas</f>
        <v>12.58204397009003</v>
      </c>
      <c r="H581" s="307">
        <f t="shared" ref="H581:H644" ca="1" si="273">H580+acc_z*pas</f>
        <v>-123.04174819729617</v>
      </c>
      <c r="I581" s="304">
        <f t="shared" ref="I581:I644" ca="1" si="274">SQRT(vit_x^2+vit_z^2)</f>
        <v>123.68338461536422</v>
      </c>
      <c r="J581" s="306">
        <f t="shared" ref="J581:J644" ca="1" si="275">J580+0.5*(vit_x+G580)*pas*(K580&gt;=0)</f>
        <v>780.60585379989482</v>
      </c>
      <c r="K581" s="307">
        <f t="shared" ref="K581:K644" ca="1" si="276">K580+0.5*(vit_z+H580)*pas</f>
        <v>-3.9460722084000479</v>
      </c>
      <c r="L581" s="304">
        <f t="shared" ca="1" si="261"/>
        <v>780.61582771074825</v>
      </c>
      <c r="M581" s="306">
        <f t="shared" ref="M581:M644" ca="1" si="277">IF(AND(L580&gt;L_rampe,G581&gt;0),ATAN2(G581,H581),$M$4)</f>
        <v>-1.4688922053297437</v>
      </c>
      <c r="N581" s="304">
        <f t="shared" ref="N581:N644" ca="1" si="278">DEGREES(Beta)</f>
        <v>-84.161323925058241</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8.0499999999999989</v>
      </c>
      <c r="T581" s="304">
        <f t="shared" ca="1" si="262"/>
        <v>78.970499999999987</v>
      </c>
      <c r="U581" s="311">
        <f t="shared" ca="1" si="263"/>
        <v>0</v>
      </c>
      <c r="V581" s="306">
        <f t="shared" ca="1" si="264"/>
        <v>1.2254834892397017</v>
      </c>
      <c r="W581" s="304">
        <f t="shared" ca="1" si="265"/>
        <v>58.252219002434096</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2.5228454577575992</v>
      </c>
      <c r="AH581" s="304">
        <f t="shared" ref="AH581:AH644" ca="1" si="289">IF(AND(L580&lt;L_rampe,Poussee&lt;Poids*SIN(M580)), g*SIN(M580), (-W580+Poussee)/m)</f>
        <v>-7.2362620729551956</v>
      </c>
    </row>
    <row r="582" spans="1:34" x14ac:dyDescent="0.3">
      <c r="A582" s="347">
        <f t="shared" ca="1" si="267"/>
        <v>1E-4</v>
      </c>
      <c r="B582" s="304">
        <f t="shared" ca="1" si="268"/>
        <v>33.905900000000408</v>
      </c>
      <c r="D582" s="306">
        <f t="shared" ca="1" si="269"/>
        <v>-0.73613324311634509</v>
      </c>
      <c r="E582" s="307">
        <f t="shared" ca="1" si="270"/>
        <v>-2.6112395001563353</v>
      </c>
      <c r="F582" s="304">
        <f t="shared" ca="1" si="271"/>
        <v>2.7130174858997305</v>
      </c>
      <c r="G582" s="306">
        <f t="shared" ca="1" si="272"/>
        <v>12.581970356765719</v>
      </c>
      <c r="H582" s="307">
        <f t="shared" ca="1" si="273"/>
        <v>-123.04200932124618</v>
      </c>
      <c r="I582" s="304">
        <f t="shared" ca="1" si="274"/>
        <v>123.68363689618835</v>
      </c>
      <c r="J582" s="306">
        <f t="shared" ca="1" si="275"/>
        <v>780.60585379989482</v>
      </c>
      <c r="K582" s="307">
        <f t="shared" ca="1" si="276"/>
        <v>-3.958376396275975</v>
      </c>
      <c r="L582" s="304">
        <f t="shared" ca="1" si="261"/>
        <v>780.61589000631886</v>
      </c>
      <c r="M582" s="306">
        <f t="shared" ca="1" si="277"/>
        <v>-1.4688930121867929</v>
      </c>
      <c r="N582" s="304">
        <f t="shared" ca="1" si="278"/>
        <v>-84.161370154561837</v>
      </c>
      <c r="P582" s="310">
        <f t="shared" ca="1" si="279"/>
        <v>23</v>
      </c>
      <c r="Q582" s="304">
        <f t="shared" ca="1" si="280"/>
        <v>0</v>
      </c>
      <c r="R582" s="306">
        <f t="shared" ca="1" si="281"/>
        <v>0</v>
      </c>
      <c r="S582" s="307">
        <f t="shared" ca="1" si="282"/>
        <v>8.0499999999999989</v>
      </c>
      <c r="T582" s="304">
        <f t="shared" ca="1" si="262"/>
        <v>78.970499999999987</v>
      </c>
      <c r="U582" s="311">
        <f t="shared" ca="1" si="263"/>
        <v>0</v>
      </c>
      <c r="V582" s="306">
        <f t="shared" ca="1" si="264"/>
        <v>1.2254849970985973</v>
      </c>
      <c r="W582" s="304">
        <f t="shared" ca="1" si="265"/>
        <v>58.252528315345167</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2.5228078387302908</v>
      </c>
      <c r="AH582" s="304">
        <f t="shared" ca="1" si="289"/>
        <v>-7.2363004971967833</v>
      </c>
    </row>
    <row r="583" spans="1:34" x14ac:dyDescent="0.3">
      <c r="A583" s="347">
        <f t="shared" ca="1" si="267"/>
        <v>1E-4</v>
      </c>
      <c r="B583" s="304">
        <f t="shared" ca="1" si="268"/>
        <v>33.906000000000411</v>
      </c>
      <c r="D583" s="306">
        <f t="shared" ca="1" si="269"/>
        <v>-0.73613134350160914</v>
      </c>
      <c r="E583" s="307">
        <f t="shared" ca="1" si="270"/>
        <v>-2.6112006815703994</v>
      </c>
      <c r="F583" s="304">
        <f t="shared" ca="1" si="271"/>
        <v>2.7129796081650159</v>
      </c>
      <c r="G583" s="306">
        <f t="shared" ca="1" si="272"/>
        <v>12.581896743631368</v>
      </c>
      <c r="H583" s="307">
        <f t="shared" ca="1" si="273"/>
        <v>-123.04227044131434</v>
      </c>
      <c r="I583" s="304">
        <f t="shared" ca="1" si="274"/>
        <v>123.68388917325061</v>
      </c>
      <c r="J583" s="306">
        <f t="shared" ca="1" si="275"/>
        <v>780.60585379989482</v>
      </c>
      <c r="K583" s="307">
        <f t="shared" ca="1" si="276"/>
        <v>-3.970680610264103</v>
      </c>
      <c r="L583" s="304">
        <f t="shared" ca="1" si="261"/>
        <v>780.6159524959578</v>
      </c>
      <c r="M583" s="306">
        <f t="shared" ca="1" si="277"/>
        <v>-1.4688938190358298</v>
      </c>
      <c r="N583" s="304">
        <f t="shared" ca="1" si="278"/>
        <v>-84.161416383606351</v>
      </c>
      <c r="P583" s="310">
        <f t="shared" ca="1" si="279"/>
        <v>23</v>
      </c>
      <c r="Q583" s="304">
        <f t="shared" ca="1" si="280"/>
        <v>0</v>
      </c>
      <c r="R583" s="306">
        <f t="shared" ca="1" si="281"/>
        <v>0</v>
      </c>
      <c r="S583" s="307">
        <f t="shared" ca="1" si="282"/>
        <v>8.0499999999999989</v>
      </c>
      <c r="T583" s="304">
        <f t="shared" ca="1" si="262"/>
        <v>78.970499999999987</v>
      </c>
      <c r="U583" s="311">
        <f t="shared" ca="1" si="263"/>
        <v>0</v>
      </c>
      <c r="V583" s="306">
        <f t="shared" ca="1" si="264"/>
        <v>1.2254865049625487</v>
      </c>
      <c r="W583" s="304">
        <f t="shared" ca="1" si="265"/>
        <v>58.252837626022526</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2.5227702199661124</v>
      </c>
      <c r="AH583" s="304">
        <f t="shared" ca="1" si="289"/>
        <v>-7.2363389211608915</v>
      </c>
    </row>
    <row r="584" spans="1:34" x14ac:dyDescent="0.3">
      <c r="A584" s="347">
        <f t="shared" ca="1" si="267"/>
        <v>1E-4</v>
      </c>
      <c r="B584" s="304">
        <f t="shared" ca="1" si="268"/>
        <v>33.906100000000414</v>
      </c>
      <c r="D584" s="306">
        <f t="shared" ca="1" si="269"/>
        <v>-0.73612944385416235</v>
      </c>
      <c r="E584" s="307">
        <f t="shared" ca="1" si="270"/>
        <v>-2.6111618632647815</v>
      </c>
      <c r="F584" s="304">
        <f t="shared" ca="1" si="271"/>
        <v>2.7129417307191548</v>
      </c>
      <c r="G584" s="306">
        <f t="shared" ca="1" si="272"/>
        <v>12.581823130686983</v>
      </c>
      <c r="H584" s="307">
        <f t="shared" ca="1" si="273"/>
        <v>-123.04253155750067</v>
      </c>
      <c r="I584" s="304">
        <f t="shared" ca="1" si="274"/>
        <v>123.68414144655101</v>
      </c>
      <c r="J584" s="306">
        <f t="shared" ca="1" si="275"/>
        <v>780.60585379989482</v>
      </c>
      <c r="K584" s="307">
        <f t="shared" ca="1" si="276"/>
        <v>-3.9829848503640437</v>
      </c>
      <c r="L584" s="304">
        <f t="shared" ca="1" si="261"/>
        <v>780.61601517966631</v>
      </c>
      <c r="M584" s="306">
        <f t="shared" ca="1" si="277"/>
        <v>-1.4688946258768547</v>
      </c>
      <c r="N584" s="304">
        <f t="shared" ca="1" si="278"/>
        <v>-84.161462612191812</v>
      </c>
      <c r="P584" s="310">
        <f t="shared" ca="1" si="279"/>
        <v>23</v>
      </c>
      <c r="Q584" s="304">
        <f t="shared" ca="1" si="280"/>
        <v>0</v>
      </c>
      <c r="R584" s="306">
        <f t="shared" ca="1" si="281"/>
        <v>0</v>
      </c>
      <c r="S584" s="307">
        <f t="shared" ca="1" si="282"/>
        <v>8.0499999999999989</v>
      </c>
      <c r="T584" s="304">
        <f t="shared" ca="1" si="262"/>
        <v>78.970499999999987</v>
      </c>
      <c r="U584" s="311">
        <f t="shared" ca="1" si="263"/>
        <v>0</v>
      </c>
      <c r="V584" s="306">
        <f t="shared" ca="1" si="264"/>
        <v>1.2254880128315557</v>
      </c>
      <c r="W584" s="304">
        <f t="shared" ca="1" si="265"/>
        <v>58.253146934466152</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2.5227326014650666</v>
      </c>
      <c r="AH584" s="304">
        <f t="shared" ca="1" si="289"/>
        <v>-7.2363773448475195</v>
      </c>
    </row>
    <row r="585" spans="1:34" x14ac:dyDescent="0.3">
      <c r="A585" s="347">
        <f t="shared" ca="1" si="267"/>
        <v>1E-4</v>
      </c>
      <c r="B585" s="304">
        <f t="shared" ca="1" si="268"/>
        <v>33.906200000000418</v>
      </c>
      <c r="D585" s="306">
        <f t="shared" ca="1" si="269"/>
        <v>-0.73612754417400428</v>
      </c>
      <c r="E585" s="307">
        <f t="shared" ca="1" si="270"/>
        <v>-2.6111230452394834</v>
      </c>
      <c r="F585" s="304">
        <f t="shared" ca="1" si="271"/>
        <v>2.7129038535621501</v>
      </c>
      <c r="G585" s="306">
        <f t="shared" ca="1" si="272"/>
        <v>12.581749517932566</v>
      </c>
      <c r="H585" s="307">
        <f t="shared" ca="1" si="273"/>
        <v>-123.04279266980519</v>
      </c>
      <c r="I585" s="304">
        <f t="shared" ca="1" si="274"/>
        <v>123.6843937160896</v>
      </c>
      <c r="J585" s="306">
        <f t="shared" ca="1" si="275"/>
        <v>780.60585379989482</v>
      </c>
      <c r="K585" s="307">
        <f t="shared" ca="1" si="276"/>
        <v>-3.995289116575409</v>
      </c>
      <c r="L585" s="304">
        <f t="shared" ca="1" si="261"/>
        <v>780.61607805744552</v>
      </c>
      <c r="M585" s="306">
        <f t="shared" ca="1" si="277"/>
        <v>-1.4688954327098678</v>
      </c>
      <c r="N585" s="304">
        <f t="shared" ca="1" si="278"/>
        <v>-84.161508840318234</v>
      </c>
      <c r="P585" s="310">
        <f t="shared" ca="1" si="279"/>
        <v>23</v>
      </c>
      <c r="Q585" s="304">
        <f t="shared" ca="1" si="280"/>
        <v>0</v>
      </c>
      <c r="R585" s="306">
        <f t="shared" ca="1" si="281"/>
        <v>0</v>
      </c>
      <c r="S585" s="307">
        <f t="shared" ca="1" si="282"/>
        <v>8.0499999999999989</v>
      </c>
      <c r="T585" s="304">
        <f t="shared" ca="1" si="262"/>
        <v>78.970499999999987</v>
      </c>
      <c r="U585" s="311">
        <f t="shared" ca="1" si="263"/>
        <v>0</v>
      </c>
      <c r="V585" s="306">
        <f t="shared" ca="1" si="264"/>
        <v>1.2254895207056178</v>
      </c>
      <c r="W585" s="304">
        <f t="shared" ca="1" si="265"/>
        <v>58.253456240676016</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2.5226949832271552</v>
      </c>
      <c r="AH585" s="304">
        <f t="shared" ca="1" si="289"/>
        <v>-7.2364157682566654</v>
      </c>
    </row>
    <row r="586" spans="1:34" x14ac:dyDescent="0.3">
      <c r="A586" s="347">
        <f t="shared" ca="1" si="267"/>
        <v>1E-4</v>
      </c>
      <c r="B586" s="304">
        <f t="shared" ca="1" si="268"/>
        <v>33.906300000000421</v>
      </c>
      <c r="D586" s="306">
        <f t="shared" ca="1" si="269"/>
        <v>-0.73612564446113482</v>
      </c>
      <c r="E586" s="307">
        <f t="shared" ca="1" si="270"/>
        <v>-2.6110842274945085</v>
      </c>
      <c r="F586" s="304">
        <f t="shared" ca="1" si="271"/>
        <v>2.7128659766940046</v>
      </c>
      <c r="G586" s="306">
        <f t="shared" ca="1" si="272"/>
        <v>12.581675905368121</v>
      </c>
      <c r="H586" s="307">
        <f t="shared" ca="1" si="273"/>
        <v>-123.04305377822794</v>
      </c>
      <c r="I586" s="304">
        <f t="shared" ca="1" si="274"/>
        <v>123.68464598186638</v>
      </c>
      <c r="J586" s="306">
        <f t="shared" ca="1" si="275"/>
        <v>780.60585379989482</v>
      </c>
      <c r="K586" s="307">
        <f t="shared" ca="1" si="276"/>
        <v>-4.0075934088978107</v>
      </c>
      <c r="L586" s="304">
        <f t="shared" ca="1" si="261"/>
        <v>780.61614112929658</v>
      </c>
      <c r="M586" s="306">
        <f t="shared" ca="1" si="277"/>
        <v>-1.468896239534869</v>
      </c>
      <c r="N586" s="304">
        <f t="shared" ca="1" si="278"/>
        <v>-84.161555067985617</v>
      </c>
      <c r="P586" s="310">
        <f t="shared" ca="1" si="279"/>
        <v>23</v>
      </c>
      <c r="Q586" s="304">
        <f t="shared" ca="1" si="280"/>
        <v>0</v>
      </c>
      <c r="R586" s="306">
        <f t="shared" ca="1" si="281"/>
        <v>0</v>
      </c>
      <c r="S586" s="307">
        <f t="shared" ca="1" si="282"/>
        <v>8.0499999999999989</v>
      </c>
      <c r="T586" s="304">
        <f t="shared" ca="1" si="262"/>
        <v>78.970499999999987</v>
      </c>
      <c r="U586" s="311">
        <f t="shared" ca="1" si="263"/>
        <v>0</v>
      </c>
      <c r="V586" s="306">
        <f t="shared" ca="1" si="264"/>
        <v>1.2254910285847358</v>
      </c>
      <c r="W586" s="304">
        <f t="shared" ca="1" si="265"/>
        <v>58.25376554465214</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2.5226573652523783</v>
      </c>
      <c r="AH586" s="304">
        <f t="shared" ca="1" si="289"/>
        <v>-7.2364541913883258</v>
      </c>
    </row>
    <row r="587" spans="1:34" x14ac:dyDescent="0.3">
      <c r="A587" s="347">
        <f t="shared" ca="1" si="267"/>
        <v>1E-4</v>
      </c>
      <c r="B587" s="304">
        <f t="shared" ca="1" si="268"/>
        <v>33.906400000000424</v>
      </c>
      <c r="D587" s="306">
        <f t="shared" ca="1" si="269"/>
        <v>-0.73612374471555575</v>
      </c>
      <c r="E587" s="307">
        <f t="shared" ca="1" si="270"/>
        <v>-2.6110454100298535</v>
      </c>
      <c r="F587" s="304">
        <f t="shared" ca="1" si="271"/>
        <v>2.7128281001147156</v>
      </c>
      <c r="G587" s="306">
        <f t="shared" ca="1" si="272"/>
        <v>12.581602292993649</v>
      </c>
      <c r="H587" s="307">
        <f t="shared" ca="1" si="273"/>
        <v>-123.04331488276894</v>
      </c>
      <c r="I587" s="304">
        <f t="shared" ca="1" si="274"/>
        <v>123.68489824388138</v>
      </c>
      <c r="J587" s="306">
        <f t="shared" ca="1" si="275"/>
        <v>780.60585379989482</v>
      </c>
      <c r="K587" s="307">
        <f t="shared" ca="1" si="276"/>
        <v>-4.0198977273308607</v>
      </c>
      <c r="L587" s="304">
        <f t="shared" ca="1" si="261"/>
        <v>780.61620439522062</v>
      </c>
      <c r="M587" s="306">
        <f t="shared" ca="1" si="277"/>
        <v>-1.4688970463518587</v>
      </c>
      <c r="N587" s="304">
        <f t="shared" ca="1" si="278"/>
        <v>-84.161601295193961</v>
      </c>
      <c r="P587" s="310">
        <f t="shared" ca="1" si="279"/>
        <v>23</v>
      </c>
      <c r="Q587" s="304">
        <f t="shared" ca="1" si="280"/>
        <v>0</v>
      </c>
      <c r="R587" s="306">
        <f t="shared" ca="1" si="281"/>
        <v>0</v>
      </c>
      <c r="S587" s="307">
        <f t="shared" ca="1" si="282"/>
        <v>8.0499999999999989</v>
      </c>
      <c r="T587" s="304">
        <f t="shared" ca="1" si="262"/>
        <v>78.970499999999987</v>
      </c>
      <c r="U587" s="311">
        <f t="shared" ca="1" si="263"/>
        <v>0</v>
      </c>
      <c r="V587" s="306">
        <f t="shared" ca="1" si="264"/>
        <v>1.22549253646891</v>
      </c>
      <c r="W587" s="304">
        <f t="shared" ca="1" si="265"/>
        <v>58.254074846394531</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2.5226197475407384</v>
      </c>
      <c r="AH587" s="304">
        <f t="shared" ca="1" si="289"/>
        <v>-7.2364926142425032</v>
      </c>
    </row>
    <row r="588" spans="1:34" x14ac:dyDescent="0.3">
      <c r="A588" s="347">
        <f t="shared" ca="1" si="267"/>
        <v>1E-4</v>
      </c>
      <c r="B588" s="304">
        <f t="shared" ca="1" si="268"/>
        <v>33.906500000000428</v>
      </c>
      <c r="D588" s="306">
        <f t="shared" ca="1" si="269"/>
        <v>-0.73612184493726696</v>
      </c>
      <c r="E588" s="307">
        <f t="shared" ca="1" si="270"/>
        <v>-2.6110065928455191</v>
      </c>
      <c r="F588" s="304">
        <f t="shared" ca="1" si="271"/>
        <v>2.7127902238242845</v>
      </c>
      <c r="G588" s="306">
        <f t="shared" ca="1" si="272"/>
        <v>12.581528680809155</v>
      </c>
      <c r="H588" s="307">
        <f t="shared" ca="1" si="273"/>
        <v>-123.04357598342823</v>
      </c>
      <c r="I588" s="304">
        <f t="shared" ca="1" si="274"/>
        <v>123.68515050213465</v>
      </c>
      <c r="J588" s="306">
        <f t="shared" ca="1" si="275"/>
        <v>780.60585379989482</v>
      </c>
      <c r="K588" s="307">
        <f t="shared" ca="1" si="276"/>
        <v>-4.0322020718741705</v>
      </c>
      <c r="L588" s="304">
        <f t="shared" ca="1" si="261"/>
        <v>780.61626785521912</v>
      </c>
      <c r="M588" s="306">
        <f t="shared" ca="1" si="277"/>
        <v>-1.4688978531608368</v>
      </c>
      <c r="N588" s="304">
        <f t="shared" ca="1" si="278"/>
        <v>-84.16164752194328</v>
      </c>
      <c r="P588" s="310">
        <f t="shared" ca="1" si="279"/>
        <v>23</v>
      </c>
      <c r="Q588" s="304">
        <f t="shared" ca="1" si="280"/>
        <v>0</v>
      </c>
      <c r="R588" s="306">
        <f t="shared" ca="1" si="281"/>
        <v>0</v>
      </c>
      <c r="S588" s="307">
        <f t="shared" ca="1" si="282"/>
        <v>8.0499999999999989</v>
      </c>
      <c r="T588" s="304">
        <f t="shared" ca="1" si="262"/>
        <v>78.970499999999987</v>
      </c>
      <c r="U588" s="311">
        <f t="shared" ca="1" si="263"/>
        <v>0</v>
      </c>
      <c r="V588" s="306">
        <f t="shared" ca="1" si="264"/>
        <v>1.2254940443581388</v>
      </c>
      <c r="W588" s="304">
        <f t="shared" ca="1" si="265"/>
        <v>58.254384145903146</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2.5225821300922338</v>
      </c>
      <c r="AH588" s="304">
        <f t="shared" ca="1" si="289"/>
        <v>-7.2365310368191977</v>
      </c>
    </row>
    <row r="589" spans="1:34" x14ac:dyDescent="0.3">
      <c r="A589" s="347">
        <f t="shared" ca="1" si="267"/>
        <v>1E-4</v>
      </c>
      <c r="B589" s="304">
        <f t="shared" ca="1" si="268"/>
        <v>33.906600000000431</v>
      </c>
      <c r="D589" s="306">
        <f t="shared" ca="1" si="269"/>
        <v>-0.73611994512626966</v>
      </c>
      <c r="E589" s="307">
        <f t="shared" ca="1" si="270"/>
        <v>-2.6109677759415106</v>
      </c>
      <c r="F589" s="304">
        <f t="shared" ca="1" si="271"/>
        <v>2.7127523478227165</v>
      </c>
      <c r="G589" s="306">
        <f t="shared" ca="1" si="272"/>
        <v>12.581455068814643</v>
      </c>
      <c r="H589" s="307">
        <f t="shared" ca="1" si="273"/>
        <v>-123.04383708020582</v>
      </c>
      <c r="I589" s="304">
        <f t="shared" ca="1" si="274"/>
        <v>123.68540275662619</v>
      </c>
      <c r="J589" s="306">
        <f t="shared" ca="1" si="275"/>
        <v>780.60585379989482</v>
      </c>
      <c r="K589" s="307">
        <f t="shared" ca="1" si="276"/>
        <v>-4.0445064425273518</v>
      </c>
      <c r="L589" s="304">
        <f t="shared" ca="1" si="261"/>
        <v>780.61633150929299</v>
      </c>
      <c r="M589" s="306">
        <f t="shared" ca="1" si="277"/>
        <v>-1.4688986599618035</v>
      </c>
      <c r="N589" s="304">
        <f t="shared" ca="1" si="278"/>
        <v>-84.161693748233574</v>
      </c>
      <c r="P589" s="310">
        <f t="shared" ca="1" si="279"/>
        <v>23</v>
      </c>
      <c r="Q589" s="304">
        <f t="shared" ca="1" si="280"/>
        <v>0</v>
      </c>
      <c r="R589" s="306">
        <f t="shared" ca="1" si="281"/>
        <v>0</v>
      </c>
      <c r="S589" s="307">
        <f t="shared" ca="1" si="282"/>
        <v>8.0499999999999989</v>
      </c>
      <c r="T589" s="304">
        <f t="shared" ca="1" si="262"/>
        <v>78.970499999999987</v>
      </c>
      <c r="U589" s="311">
        <f t="shared" ca="1" si="263"/>
        <v>0</v>
      </c>
      <c r="V589" s="306">
        <f t="shared" ca="1" si="264"/>
        <v>1.2254955522524233</v>
      </c>
      <c r="W589" s="304">
        <f t="shared" ca="1" si="265"/>
        <v>58.254693443178006</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2.522544512906868</v>
      </c>
      <c r="AH589" s="304">
        <f t="shared" ca="1" si="289"/>
        <v>-7.236569459118404</v>
      </c>
    </row>
    <row r="590" spans="1:34" x14ac:dyDescent="0.3">
      <c r="A590" s="347">
        <f t="shared" ca="1" si="267"/>
        <v>1E-4</v>
      </c>
      <c r="B590" s="304">
        <f t="shared" ca="1" si="268"/>
        <v>33.906700000000434</v>
      </c>
      <c r="D590" s="306">
        <f t="shared" ca="1" si="269"/>
        <v>-0.73611804528256419</v>
      </c>
      <c r="E590" s="307">
        <f t="shared" ca="1" si="270"/>
        <v>-2.6109289593178238</v>
      </c>
      <c r="F590" s="304">
        <f t="shared" ca="1" si="271"/>
        <v>2.7127144721100076</v>
      </c>
      <c r="G590" s="306">
        <f t="shared" ca="1" si="272"/>
        <v>12.581381457010115</v>
      </c>
      <c r="H590" s="307">
        <f t="shared" ca="1" si="273"/>
        <v>-123.04409817310174</v>
      </c>
      <c r="I590" s="304">
        <f t="shared" ca="1" si="274"/>
        <v>123.68565500735605</v>
      </c>
      <c r="J590" s="306">
        <f t="shared" ca="1" si="275"/>
        <v>780.60585379989482</v>
      </c>
      <c r="K590" s="307">
        <f t="shared" ca="1" si="276"/>
        <v>-4.0568108392900175</v>
      </c>
      <c r="L590" s="304">
        <f t="shared" ca="1" si="261"/>
        <v>780.61639535744348</v>
      </c>
      <c r="M590" s="306">
        <f t="shared" ca="1" si="277"/>
        <v>-1.4688994667547588</v>
      </c>
      <c r="N590" s="304">
        <f t="shared" ca="1" si="278"/>
        <v>-84.161739974064858</v>
      </c>
      <c r="P590" s="310">
        <f t="shared" ca="1" si="279"/>
        <v>23</v>
      </c>
      <c r="Q590" s="304">
        <f t="shared" ca="1" si="280"/>
        <v>0</v>
      </c>
      <c r="R590" s="306">
        <f t="shared" ca="1" si="281"/>
        <v>0</v>
      </c>
      <c r="S590" s="307">
        <f t="shared" ca="1" si="282"/>
        <v>8.0499999999999989</v>
      </c>
      <c r="T590" s="304">
        <f t="shared" ca="1" si="262"/>
        <v>78.970499999999987</v>
      </c>
      <c r="U590" s="311">
        <f t="shared" ca="1" si="263"/>
        <v>0</v>
      </c>
      <c r="V590" s="306">
        <f t="shared" ca="1" si="264"/>
        <v>1.2254970601517639</v>
      </c>
      <c r="W590" s="304">
        <f t="shared" ca="1" si="265"/>
        <v>58.255002738219112</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2.5225068959846411</v>
      </c>
      <c r="AH590" s="304">
        <f t="shared" ca="1" si="289"/>
        <v>-7.2366078811401255</v>
      </c>
    </row>
    <row r="591" spans="1:34" x14ac:dyDescent="0.3">
      <c r="A591" s="347">
        <f t="shared" ca="1" si="267"/>
        <v>1E-4</v>
      </c>
      <c r="B591" s="304">
        <f t="shared" ca="1" si="268"/>
        <v>33.906800000000437</v>
      </c>
      <c r="D591" s="306">
        <f t="shared" ca="1" si="269"/>
        <v>-0.73611614540615211</v>
      </c>
      <c r="E591" s="307">
        <f t="shared" ca="1" si="270"/>
        <v>-2.6108901429744602</v>
      </c>
      <c r="F591" s="304">
        <f t="shared" ca="1" si="271"/>
        <v>2.7126765966861601</v>
      </c>
      <c r="G591" s="306">
        <f t="shared" ca="1" si="272"/>
        <v>12.581307845395575</v>
      </c>
      <c r="H591" s="307">
        <f t="shared" ca="1" si="273"/>
        <v>-123.04435926211605</v>
      </c>
      <c r="I591" s="304">
        <f t="shared" ca="1" si="274"/>
        <v>123.68590725432423</v>
      </c>
      <c r="J591" s="306">
        <f t="shared" ca="1" si="275"/>
        <v>780.60585379989482</v>
      </c>
      <c r="K591" s="307">
        <f t="shared" ca="1" si="276"/>
        <v>-4.0691152621617785</v>
      </c>
      <c r="L591" s="304">
        <f t="shared" ca="1" si="261"/>
        <v>780.61645939967184</v>
      </c>
      <c r="M591" s="306">
        <f t="shared" ca="1" si="277"/>
        <v>-1.468900273539703</v>
      </c>
      <c r="N591" s="304">
        <f t="shared" ca="1" si="278"/>
        <v>-84.161786199437131</v>
      </c>
      <c r="P591" s="310">
        <f t="shared" ca="1" si="279"/>
        <v>23</v>
      </c>
      <c r="Q591" s="304">
        <f t="shared" ca="1" si="280"/>
        <v>0</v>
      </c>
      <c r="R591" s="306">
        <f t="shared" ca="1" si="281"/>
        <v>0</v>
      </c>
      <c r="S591" s="307">
        <f t="shared" ca="1" si="282"/>
        <v>8.0499999999999989</v>
      </c>
      <c r="T591" s="304">
        <f t="shared" ca="1" si="262"/>
        <v>78.970499999999987</v>
      </c>
      <c r="U591" s="311">
        <f t="shared" ca="1" si="263"/>
        <v>0</v>
      </c>
      <c r="V591" s="306">
        <f t="shared" ca="1" si="264"/>
        <v>1.2254985680561592</v>
      </c>
      <c r="W591" s="304">
        <f t="shared" ca="1" si="265"/>
        <v>58.255312031026413</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2.522469279325553</v>
      </c>
      <c r="AH591" s="304">
        <f t="shared" ca="1" si="289"/>
        <v>-7.2366463028843624</v>
      </c>
    </row>
    <row r="592" spans="1:34" x14ac:dyDescent="0.3">
      <c r="A592" s="347">
        <f t="shared" ca="1" si="267"/>
        <v>1E-4</v>
      </c>
      <c r="B592" s="304">
        <f t="shared" ca="1" si="268"/>
        <v>33.906900000000441</v>
      </c>
      <c r="D592" s="306">
        <f t="shared" ca="1" si="269"/>
        <v>-0.73611424549703275</v>
      </c>
      <c r="E592" s="307">
        <f t="shared" ca="1" si="270"/>
        <v>-2.6108513269114244</v>
      </c>
      <c r="F592" s="304">
        <f t="shared" ca="1" si="271"/>
        <v>2.7126387215511785</v>
      </c>
      <c r="G592" s="306">
        <f t="shared" ca="1" si="272"/>
        <v>12.581234233971024</v>
      </c>
      <c r="H592" s="307">
        <f t="shared" ca="1" si="273"/>
        <v>-123.04462034724874</v>
      </c>
      <c r="I592" s="304">
        <f t="shared" ca="1" si="274"/>
        <v>123.68615949753077</v>
      </c>
      <c r="J592" s="306">
        <f t="shared" ca="1" si="275"/>
        <v>780.60585379989482</v>
      </c>
      <c r="K592" s="307">
        <f t="shared" ca="1" si="276"/>
        <v>-4.0814197111422468</v>
      </c>
      <c r="L592" s="304">
        <f t="shared" ca="1" si="261"/>
        <v>780.61652363597921</v>
      </c>
      <c r="M592" s="306">
        <f t="shared" ca="1" si="277"/>
        <v>-1.468901080316636</v>
      </c>
      <c r="N592" s="304">
        <f t="shared" ca="1" si="278"/>
        <v>-84.161832424350408</v>
      </c>
      <c r="P592" s="310">
        <f t="shared" ca="1" si="279"/>
        <v>23</v>
      </c>
      <c r="Q592" s="304">
        <f t="shared" ca="1" si="280"/>
        <v>0</v>
      </c>
      <c r="R592" s="306">
        <f t="shared" ca="1" si="281"/>
        <v>0</v>
      </c>
      <c r="S592" s="307">
        <f t="shared" ca="1" si="282"/>
        <v>8.0499999999999989</v>
      </c>
      <c r="T592" s="304">
        <f t="shared" ca="1" si="262"/>
        <v>78.970499999999987</v>
      </c>
      <c r="U592" s="311">
        <f t="shared" ca="1" si="263"/>
        <v>0</v>
      </c>
      <c r="V592" s="306">
        <f t="shared" ca="1" si="264"/>
        <v>1.2255000759656103</v>
      </c>
      <c r="W592" s="304">
        <f t="shared" ca="1" si="265"/>
        <v>58.255621321599925</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2.5224316629296064</v>
      </c>
      <c r="AH592" s="304">
        <f t="shared" ca="1" si="289"/>
        <v>-7.2366847243511083</v>
      </c>
    </row>
    <row r="593" spans="1:34" x14ac:dyDescent="0.3">
      <c r="A593" s="347">
        <f t="shared" ca="1" si="267"/>
        <v>1E-4</v>
      </c>
      <c r="B593" s="304">
        <f t="shared" ca="1" si="268"/>
        <v>33.907000000000444</v>
      </c>
      <c r="D593" s="306">
        <f t="shared" ca="1" si="269"/>
        <v>-0.73611234555520788</v>
      </c>
      <c r="E593" s="307">
        <f t="shared" ca="1" si="270"/>
        <v>-2.6108125111287155</v>
      </c>
      <c r="F593" s="304">
        <f t="shared" ca="1" si="271"/>
        <v>2.7126008467050622</v>
      </c>
      <c r="G593" s="306">
        <f t="shared" ca="1" si="272"/>
        <v>12.581160622736469</v>
      </c>
      <c r="H593" s="307">
        <f t="shared" ca="1" si="273"/>
        <v>-123.04488142849985</v>
      </c>
      <c r="I593" s="304">
        <f t="shared" ca="1" si="274"/>
        <v>123.68641173697571</v>
      </c>
      <c r="J593" s="306">
        <f t="shared" ca="1" si="275"/>
        <v>780.60585379989482</v>
      </c>
      <c r="K593" s="307">
        <f t="shared" ca="1" si="276"/>
        <v>-4.0937241862310341</v>
      </c>
      <c r="L593" s="304">
        <f t="shared" ca="1" si="261"/>
        <v>780.61658806636672</v>
      </c>
      <c r="M593" s="306">
        <f t="shared" ca="1" si="277"/>
        <v>-1.4689018870855581</v>
      </c>
      <c r="N593" s="304">
        <f t="shared" ca="1" si="278"/>
        <v>-84.161878648804688</v>
      </c>
      <c r="P593" s="310">
        <f t="shared" ca="1" si="279"/>
        <v>23</v>
      </c>
      <c r="Q593" s="304">
        <f t="shared" ca="1" si="280"/>
        <v>0</v>
      </c>
      <c r="R593" s="306">
        <f t="shared" ca="1" si="281"/>
        <v>0</v>
      </c>
      <c r="S593" s="307">
        <f t="shared" ca="1" si="282"/>
        <v>8.0499999999999989</v>
      </c>
      <c r="T593" s="304">
        <f t="shared" ca="1" si="262"/>
        <v>78.970499999999987</v>
      </c>
      <c r="U593" s="311">
        <f t="shared" ca="1" si="263"/>
        <v>0</v>
      </c>
      <c r="V593" s="306">
        <f t="shared" ca="1" si="264"/>
        <v>1.2255015838801164</v>
      </c>
      <c r="W593" s="304">
        <f t="shared" ca="1" si="265"/>
        <v>58.255930609939682</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2.5223940467968076</v>
      </c>
      <c r="AH593" s="304">
        <f t="shared" ca="1" si="289"/>
        <v>-7.2367231455403642</v>
      </c>
    </row>
    <row r="594" spans="1:34" x14ac:dyDescent="0.3">
      <c r="A594" s="347">
        <f t="shared" ca="1" si="267"/>
        <v>1E-4</v>
      </c>
      <c r="B594" s="304">
        <f t="shared" ca="1" si="268"/>
        <v>33.907100000000447</v>
      </c>
      <c r="D594" s="306">
        <f t="shared" ca="1" si="269"/>
        <v>-0.73611044558067795</v>
      </c>
      <c r="E594" s="307">
        <f t="shared" ca="1" si="270"/>
        <v>-2.6107736956263299</v>
      </c>
      <c r="F594" s="304">
        <f t="shared" ca="1" si="271"/>
        <v>2.7125629721478077</v>
      </c>
      <c r="G594" s="306">
        <f t="shared" ca="1" si="272"/>
        <v>12.581087011691912</v>
      </c>
      <c r="H594" s="307">
        <f t="shared" ca="1" si="273"/>
        <v>-123.04514250586941</v>
      </c>
      <c r="I594" s="304">
        <f t="shared" ca="1" si="274"/>
        <v>123.68666397265905</v>
      </c>
      <c r="J594" s="306">
        <f t="shared" ca="1" si="275"/>
        <v>780.60585379989482</v>
      </c>
      <c r="K594" s="307">
        <f t="shared" ca="1" si="276"/>
        <v>-4.1060286874277523</v>
      </c>
      <c r="L594" s="304">
        <f t="shared" ca="1" si="261"/>
        <v>780.61665269083562</v>
      </c>
      <c r="M594" s="306">
        <f t="shared" ca="1" si="277"/>
        <v>-1.4689026938464695</v>
      </c>
      <c r="N594" s="304">
        <f t="shared" ca="1" si="278"/>
        <v>-84.161924872799986</v>
      </c>
      <c r="P594" s="310">
        <f t="shared" ca="1" si="279"/>
        <v>23</v>
      </c>
      <c r="Q594" s="304">
        <f t="shared" ca="1" si="280"/>
        <v>0</v>
      </c>
      <c r="R594" s="306">
        <f t="shared" ca="1" si="281"/>
        <v>0</v>
      </c>
      <c r="S594" s="307">
        <f t="shared" ca="1" si="282"/>
        <v>8.0499999999999989</v>
      </c>
      <c r="T594" s="304">
        <f t="shared" ca="1" si="262"/>
        <v>78.970499999999987</v>
      </c>
      <c r="U594" s="311">
        <f t="shared" ca="1" si="263"/>
        <v>0</v>
      </c>
      <c r="V594" s="306">
        <f t="shared" ca="1" si="264"/>
        <v>1.2255030917996779</v>
      </c>
      <c r="W594" s="304">
        <f t="shared" ca="1" si="265"/>
        <v>58.256239896045599</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2.5223564309271458</v>
      </c>
      <c r="AH594" s="304">
        <f t="shared" ca="1" si="289"/>
        <v>-7.2367615664521354</v>
      </c>
    </row>
    <row r="595" spans="1:34" x14ac:dyDescent="0.3">
      <c r="A595" s="347">
        <f t="shared" ca="1" si="267"/>
        <v>1E-4</v>
      </c>
      <c r="B595" s="304">
        <f t="shared" ca="1" si="268"/>
        <v>33.907200000000451</v>
      </c>
      <c r="D595" s="306">
        <f t="shared" ca="1" si="269"/>
        <v>-0.73610854557344196</v>
      </c>
      <c r="E595" s="307">
        <f t="shared" ca="1" si="270"/>
        <v>-2.6107348804042765</v>
      </c>
      <c r="F595" s="304">
        <f t="shared" ca="1" si="271"/>
        <v>2.7125250978794244</v>
      </c>
      <c r="G595" s="306">
        <f t="shared" ca="1" si="272"/>
        <v>12.581013400837355</v>
      </c>
      <c r="H595" s="307">
        <f t="shared" ca="1" si="273"/>
        <v>-123.04540357935744</v>
      </c>
      <c r="I595" s="304">
        <f t="shared" ca="1" si="274"/>
        <v>123.68691620458083</v>
      </c>
      <c r="J595" s="306">
        <f t="shared" ca="1" si="275"/>
        <v>780.60585379989482</v>
      </c>
      <c r="K595" s="307">
        <f t="shared" ca="1" si="276"/>
        <v>-4.1183332147320133</v>
      </c>
      <c r="L595" s="304">
        <f t="shared" ca="1" si="261"/>
        <v>780.61671750938706</v>
      </c>
      <c r="M595" s="306">
        <f t="shared" ca="1" si="277"/>
        <v>-1.4689035005993702</v>
      </c>
      <c r="N595" s="304">
        <f t="shared" ca="1" si="278"/>
        <v>-84.161971096336302</v>
      </c>
      <c r="P595" s="310">
        <f t="shared" ca="1" si="279"/>
        <v>23</v>
      </c>
      <c r="Q595" s="304">
        <f t="shared" ca="1" si="280"/>
        <v>0</v>
      </c>
      <c r="R595" s="306">
        <f t="shared" ca="1" si="281"/>
        <v>0</v>
      </c>
      <c r="S595" s="307">
        <f t="shared" ca="1" si="282"/>
        <v>8.0499999999999989</v>
      </c>
      <c r="T595" s="304">
        <f t="shared" ca="1" si="262"/>
        <v>78.970499999999987</v>
      </c>
      <c r="U595" s="311">
        <f t="shared" ca="1" si="263"/>
        <v>0</v>
      </c>
      <c r="V595" s="306">
        <f t="shared" ca="1" si="264"/>
        <v>1.2255045997242948</v>
      </c>
      <c r="W595" s="304">
        <f t="shared" ca="1" si="265"/>
        <v>58.256549179917727</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2.5223188153206317</v>
      </c>
      <c r="AH595" s="304">
        <f t="shared" ca="1" si="289"/>
        <v>-7.2367999870864113</v>
      </c>
    </row>
    <row r="596" spans="1:34" x14ac:dyDescent="0.3">
      <c r="A596" s="347">
        <f t="shared" ca="1" si="267"/>
        <v>1E-4</v>
      </c>
      <c r="B596" s="304">
        <f t="shared" ca="1" si="268"/>
        <v>33.907300000000454</v>
      </c>
      <c r="D596" s="306">
        <f t="shared" ca="1" si="269"/>
        <v>-0.73610664553350191</v>
      </c>
      <c r="E596" s="307">
        <f t="shared" ca="1" si="270"/>
        <v>-2.6106960654625508</v>
      </c>
      <c r="F596" s="304">
        <f t="shared" ca="1" si="271"/>
        <v>2.7124872238999078</v>
      </c>
      <c r="G596" s="306">
        <f t="shared" ca="1" si="272"/>
        <v>12.580939790172801</v>
      </c>
      <c r="H596" s="307">
        <f t="shared" ca="1" si="273"/>
        <v>-123.04566464896399</v>
      </c>
      <c r="I596" s="304">
        <f t="shared" ca="1" si="274"/>
        <v>123.68716843274107</v>
      </c>
      <c r="J596" s="306">
        <f t="shared" ca="1" si="275"/>
        <v>780.60585379989482</v>
      </c>
      <c r="K596" s="307">
        <f t="shared" ca="1" si="276"/>
        <v>-4.130637768143429</v>
      </c>
      <c r="L596" s="304">
        <f t="shared" ca="1" si="261"/>
        <v>780.61678252202239</v>
      </c>
      <c r="M596" s="306">
        <f t="shared" ca="1" si="277"/>
        <v>-1.4689043073442605</v>
      </c>
      <c r="N596" s="304">
        <f t="shared" ca="1" si="278"/>
        <v>-84.162017319413664</v>
      </c>
      <c r="P596" s="310">
        <f t="shared" ca="1" si="279"/>
        <v>23</v>
      </c>
      <c r="Q596" s="304">
        <f t="shared" ca="1" si="280"/>
        <v>0</v>
      </c>
      <c r="R596" s="306">
        <f t="shared" ca="1" si="281"/>
        <v>0</v>
      </c>
      <c r="S596" s="307">
        <f t="shared" ca="1" si="282"/>
        <v>8.0499999999999989</v>
      </c>
      <c r="T596" s="304">
        <f t="shared" ca="1" si="262"/>
        <v>78.970499999999987</v>
      </c>
      <c r="U596" s="311">
        <f t="shared" ca="1" si="263"/>
        <v>0</v>
      </c>
      <c r="V596" s="306">
        <f t="shared" ca="1" si="264"/>
        <v>1.2255061076539671</v>
      </c>
      <c r="W596" s="304">
        <f t="shared" ca="1" si="265"/>
        <v>58.256858461556043</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2.5222811999772654</v>
      </c>
      <c r="AH596" s="304">
        <f t="shared" ca="1" si="289"/>
        <v>-7.2368384074431971</v>
      </c>
    </row>
    <row r="597" spans="1:34" x14ac:dyDescent="0.3">
      <c r="A597" s="347">
        <f t="shared" ca="1" si="267"/>
        <v>1E-4</v>
      </c>
      <c r="B597" s="304">
        <f t="shared" ca="1" si="268"/>
        <v>33.907400000000457</v>
      </c>
      <c r="D597" s="306">
        <f t="shared" ca="1" si="269"/>
        <v>-0.73610474546085791</v>
      </c>
      <c r="E597" s="307">
        <f t="shared" ca="1" si="270"/>
        <v>-2.6106572508011547</v>
      </c>
      <c r="F597" s="304">
        <f t="shared" ca="1" si="271"/>
        <v>2.7124493502092601</v>
      </c>
      <c r="G597" s="306">
        <f t="shared" ca="1" si="272"/>
        <v>12.580866179698255</v>
      </c>
      <c r="H597" s="307">
        <f t="shared" ca="1" si="273"/>
        <v>-123.04592571468908</v>
      </c>
      <c r="I597" s="304">
        <f t="shared" ca="1" si="274"/>
        <v>123.68742065713981</v>
      </c>
      <c r="J597" s="306">
        <f t="shared" ca="1" si="275"/>
        <v>780.60585379989482</v>
      </c>
      <c r="K597" s="307">
        <f t="shared" ca="1" si="276"/>
        <v>-4.1429423476616121</v>
      </c>
      <c r="L597" s="304">
        <f t="shared" ca="1" si="261"/>
        <v>780.61684772874253</v>
      </c>
      <c r="M597" s="306">
        <f t="shared" ca="1" si="277"/>
        <v>-1.46890511408114</v>
      </c>
      <c r="N597" s="304">
        <f t="shared" ca="1" si="278"/>
        <v>-84.16206354203203</v>
      </c>
      <c r="P597" s="310">
        <f t="shared" ca="1" si="279"/>
        <v>23</v>
      </c>
      <c r="Q597" s="304">
        <f t="shared" ca="1" si="280"/>
        <v>0</v>
      </c>
      <c r="R597" s="306">
        <f t="shared" ca="1" si="281"/>
        <v>0</v>
      </c>
      <c r="S597" s="307">
        <f t="shared" ca="1" si="282"/>
        <v>8.0499999999999989</v>
      </c>
      <c r="T597" s="304">
        <f t="shared" ca="1" si="262"/>
        <v>78.970499999999987</v>
      </c>
      <c r="U597" s="311">
        <f t="shared" ca="1" si="263"/>
        <v>0</v>
      </c>
      <c r="V597" s="306">
        <f t="shared" ca="1" si="264"/>
        <v>1.2255076155886946</v>
      </c>
      <c r="W597" s="304">
        <f t="shared" ca="1" si="265"/>
        <v>58.257167740960547</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2.522243584897045</v>
      </c>
      <c r="AH597" s="304">
        <f t="shared" ca="1" si="289"/>
        <v>-7.2368768275224911</v>
      </c>
    </row>
    <row r="598" spans="1:34" x14ac:dyDescent="0.3">
      <c r="A598" s="347">
        <f t="shared" ca="1" si="267"/>
        <v>1E-4</v>
      </c>
      <c r="B598" s="304">
        <f t="shared" ca="1" si="268"/>
        <v>33.907500000000461</v>
      </c>
      <c r="D598" s="306">
        <f t="shared" ca="1" si="269"/>
        <v>-0.73610284535551262</v>
      </c>
      <c r="E598" s="307">
        <f t="shared" ca="1" si="270"/>
        <v>-2.6106184364200891</v>
      </c>
      <c r="F598" s="304">
        <f t="shared" ca="1" si="271"/>
        <v>2.7124114768074832</v>
      </c>
      <c r="G598" s="306">
        <f t="shared" ca="1" si="272"/>
        <v>12.580792569413719</v>
      </c>
      <c r="H598" s="307">
        <f t="shared" ca="1" si="273"/>
        <v>-123.04618677653272</v>
      </c>
      <c r="I598" s="304">
        <f t="shared" ca="1" si="274"/>
        <v>123.68767287777708</v>
      </c>
      <c r="J598" s="306">
        <f t="shared" ca="1" si="275"/>
        <v>780.60585379989482</v>
      </c>
      <c r="K598" s="307">
        <f t="shared" ca="1" si="276"/>
        <v>-4.1552469532861736</v>
      </c>
      <c r="L598" s="304">
        <f t="shared" ca="1" si="261"/>
        <v>780.61691312954883</v>
      </c>
      <c r="M598" s="306">
        <f t="shared" ca="1" si="277"/>
        <v>-1.4689059208100093</v>
      </c>
      <c r="N598" s="304">
        <f t="shared" ca="1" si="278"/>
        <v>-84.162109764191456</v>
      </c>
      <c r="P598" s="310">
        <f t="shared" ca="1" si="279"/>
        <v>23</v>
      </c>
      <c r="Q598" s="304">
        <f t="shared" ca="1" si="280"/>
        <v>0</v>
      </c>
      <c r="R598" s="306">
        <f t="shared" ca="1" si="281"/>
        <v>0</v>
      </c>
      <c r="S598" s="307">
        <f t="shared" ca="1" si="282"/>
        <v>8.0499999999999989</v>
      </c>
      <c r="T598" s="304">
        <f t="shared" ca="1" si="262"/>
        <v>78.970499999999987</v>
      </c>
      <c r="U598" s="311">
        <f t="shared" ca="1" si="263"/>
        <v>0</v>
      </c>
      <c r="V598" s="306">
        <f t="shared" ca="1" si="264"/>
        <v>1.2255091235284772</v>
      </c>
      <c r="W598" s="304">
        <f t="shared" ca="1" si="265"/>
        <v>58.257477018131233</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2.5222059700799715</v>
      </c>
      <c r="AH598" s="304">
        <f t="shared" ca="1" si="289"/>
        <v>-7.2369152473242924</v>
      </c>
    </row>
    <row r="599" spans="1:34" x14ac:dyDescent="0.3">
      <c r="A599" s="347">
        <f t="shared" ca="1" si="267"/>
        <v>1E-4</v>
      </c>
      <c r="B599" s="304">
        <f t="shared" ca="1" si="268"/>
        <v>33.907600000000464</v>
      </c>
      <c r="D599" s="306">
        <f t="shared" ca="1" si="269"/>
        <v>-0.73610094521746494</v>
      </c>
      <c r="E599" s="307">
        <f t="shared" ca="1" si="270"/>
        <v>-2.6105796223193529</v>
      </c>
      <c r="F599" s="304">
        <f t="shared" ca="1" si="271"/>
        <v>2.712373603694576</v>
      </c>
      <c r="G599" s="306">
        <f t="shared" ca="1" si="272"/>
        <v>12.580718959319197</v>
      </c>
      <c r="H599" s="307">
        <f t="shared" ca="1" si="273"/>
        <v>-123.04644783449496</v>
      </c>
      <c r="I599" s="304">
        <f t="shared" ca="1" si="274"/>
        <v>123.68792509465288</v>
      </c>
      <c r="J599" s="306">
        <f t="shared" ca="1" si="275"/>
        <v>780.60585379989482</v>
      </c>
      <c r="K599" s="307">
        <f t="shared" ca="1" si="276"/>
        <v>-4.1675515850167253</v>
      </c>
      <c r="L599" s="304">
        <f t="shared" ca="1" si="261"/>
        <v>780.61697872444233</v>
      </c>
      <c r="M599" s="306">
        <f t="shared" ca="1" si="277"/>
        <v>-1.4689067275308685</v>
      </c>
      <c r="N599" s="304">
        <f t="shared" ca="1" si="278"/>
        <v>-84.162155985891928</v>
      </c>
      <c r="P599" s="310">
        <f t="shared" ca="1" si="279"/>
        <v>23</v>
      </c>
      <c r="Q599" s="304">
        <f t="shared" ca="1" si="280"/>
        <v>0</v>
      </c>
      <c r="R599" s="306">
        <f t="shared" ca="1" si="281"/>
        <v>0</v>
      </c>
      <c r="S599" s="307">
        <f t="shared" ca="1" si="282"/>
        <v>8.0499999999999989</v>
      </c>
      <c r="T599" s="304">
        <f t="shared" ca="1" si="262"/>
        <v>78.970499999999987</v>
      </c>
      <c r="U599" s="311">
        <f t="shared" ca="1" si="263"/>
        <v>0</v>
      </c>
      <c r="V599" s="306">
        <f t="shared" ca="1" si="264"/>
        <v>1.2255106314733151</v>
      </c>
      <c r="W599" s="304">
        <f t="shared" ca="1" si="265"/>
        <v>58.257786293068087</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2.5221683555260483</v>
      </c>
      <c r="AH599" s="304">
        <f t="shared" ca="1" si="289"/>
        <v>-7.236953666848601</v>
      </c>
    </row>
    <row r="600" spans="1:34" x14ac:dyDescent="0.3">
      <c r="A600" s="347">
        <f t="shared" ca="1" si="267"/>
        <v>1E-4</v>
      </c>
      <c r="B600" s="304">
        <f t="shared" ca="1" si="268"/>
        <v>33.907700000000467</v>
      </c>
      <c r="D600" s="306">
        <f t="shared" ca="1" si="269"/>
        <v>-0.73609904504671431</v>
      </c>
      <c r="E600" s="307">
        <f t="shared" ca="1" si="270"/>
        <v>-2.6105408084989481</v>
      </c>
      <c r="F600" s="304">
        <f t="shared" ca="1" si="271"/>
        <v>2.71233573087054</v>
      </c>
      <c r="G600" s="306">
        <f t="shared" ca="1" si="272"/>
        <v>12.580645349414693</v>
      </c>
      <c r="H600" s="307">
        <f t="shared" ca="1" si="273"/>
        <v>-123.04670888857581</v>
      </c>
      <c r="I600" s="304">
        <f t="shared" ca="1" si="274"/>
        <v>123.68817730776726</v>
      </c>
      <c r="J600" s="306">
        <f t="shared" ca="1" si="275"/>
        <v>780.60585379989482</v>
      </c>
      <c r="K600" s="307">
        <f t="shared" ca="1" si="276"/>
        <v>-4.1798562428528792</v>
      </c>
      <c r="L600" s="304">
        <f t="shared" ca="1" si="261"/>
        <v>780.61704451342439</v>
      </c>
      <c r="M600" s="306">
        <f t="shared" ca="1" si="277"/>
        <v>-1.4689075342437174</v>
      </c>
      <c r="N600" s="304">
        <f t="shared" ca="1" si="278"/>
        <v>-84.162202207133461</v>
      </c>
      <c r="P600" s="310">
        <f t="shared" ca="1" si="279"/>
        <v>23</v>
      </c>
      <c r="Q600" s="304">
        <f t="shared" ca="1" si="280"/>
        <v>0</v>
      </c>
      <c r="R600" s="306">
        <f t="shared" ca="1" si="281"/>
        <v>0</v>
      </c>
      <c r="S600" s="307">
        <f t="shared" ca="1" si="282"/>
        <v>8.0499999999999989</v>
      </c>
      <c r="T600" s="304">
        <f t="shared" ca="1" si="262"/>
        <v>78.970499999999987</v>
      </c>
      <c r="U600" s="311">
        <f t="shared" ca="1" si="263"/>
        <v>0</v>
      </c>
      <c r="V600" s="306">
        <f t="shared" ca="1" si="264"/>
        <v>1.2255121394232078</v>
      </c>
      <c r="W600" s="304">
        <f t="shared" ca="1" si="265"/>
        <v>58.258095565771093</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2.5221307412352756</v>
      </c>
      <c r="AH600" s="304">
        <f t="shared" ca="1" si="289"/>
        <v>-7.2369920860954151</v>
      </c>
    </row>
    <row r="601" spans="1:34" x14ac:dyDescent="0.3">
      <c r="A601" s="347">
        <f t="shared" ca="1" si="267"/>
        <v>1E-4</v>
      </c>
      <c r="B601" s="304">
        <f t="shared" ca="1" si="268"/>
        <v>33.907800000000471</v>
      </c>
      <c r="D601" s="306">
        <f t="shared" ca="1" si="269"/>
        <v>-0.73609714484326394</v>
      </c>
      <c r="E601" s="307">
        <f t="shared" ca="1" si="270"/>
        <v>-2.6105019949588781</v>
      </c>
      <c r="F601" s="304">
        <f t="shared" ca="1" si="271"/>
        <v>2.7122978583353796</v>
      </c>
      <c r="G601" s="306">
        <f t="shared" ca="1" si="272"/>
        <v>12.580571739700209</v>
      </c>
      <c r="H601" s="307">
        <f t="shared" ca="1" si="273"/>
        <v>-123.04696993877531</v>
      </c>
      <c r="I601" s="304">
        <f t="shared" ca="1" si="274"/>
        <v>123.68842951712023</v>
      </c>
      <c r="J601" s="306">
        <f t="shared" ca="1" si="275"/>
        <v>780.60585379989482</v>
      </c>
      <c r="K601" s="307">
        <f t="shared" ca="1" si="276"/>
        <v>-4.192160926794247</v>
      </c>
      <c r="L601" s="304">
        <f t="shared" ca="1" si="261"/>
        <v>780.61711049649614</v>
      </c>
      <c r="M601" s="306">
        <f t="shared" ca="1" si="277"/>
        <v>-1.4689083409485564</v>
      </c>
      <c r="N601" s="304">
        <f t="shared" ca="1" si="278"/>
        <v>-84.16224842791604</v>
      </c>
      <c r="P601" s="310">
        <f t="shared" ca="1" si="279"/>
        <v>23</v>
      </c>
      <c r="Q601" s="304">
        <f t="shared" ca="1" si="280"/>
        <v>0</v>
      </c>
      <c r="R601" s="306">
        <f t="shared" ca="1" si="281"/>
        <v>0</v>
      </c>
      <c r="S601" s="307">
        <f t="shared" ca="1" si="282"/>
        <v>8.0499999999999989</v>
      </c>
      <c r="T601" s="304">
        <f t="shared" ca="1" si="262"/>
        <v>78.970499999999987</v>
      </c>
      <c r="U601" s="311">
        <f t="shared" ca="1" si="263"/>
        <v>0</v>
      </c>
      <c r="V601" s="306">
        <f t="shared" ca="1" si="264"/>
        <v>1.225513647378156</v>
      </c>
      <c r="W601" s="304">
        <f t="shared" ca="1" si="265"/>
        <v>58.25840483624026</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2.522093127207655</v>
      </c>
      <c r="AH601" s="304">
        <f t="shared" ca="1" si="289"/>
        <v>-7.237030505064733</v>
      </c>
    </row>
    <row r="602" spans="1:34" x14ac:dyDescent="0.3">
      <c r="A602" s="347">
        <f t="shared" ca="1" si="267"/>
        <v>1E-4</v>
      </c>
      <c r="B602" s="304">
        <f t="shared" ca="1" si="268"/>
        <v>33.907900000000474</v>
      </c>
      <c r="D602" s="306">
        <f t="shared" ca="1" si="269"/>
        <v>-0.73609524460711362</v>
      </c>
      <c r="E602" s="307">
        <f t="shared" ca="1" si="270"/>
        <v>-2.6104631816991422</v>
      </c>
      <c r="F602" s="304">
        <f t="shared" ca="1" si="271"/>
        <v>2.7122599860890944</v>
      </c>
      <c r="G602" s="306">
        <f t="shared" ca="1" si="272"/>
        <v>12.580498130175748</v>
      </c>
      <c r="H602" s="307">
        <f t="shared" ca="1" si="273"/>
        <v>-123.04723098509348</v>
      </c>
      <c r="I602" s="304">
        <f t="shared" ca="1" si="274"/>
        <v>123.68868172271182</v>
      </c>
      <c r="J602" s="306">
        <f t="shared" ca="1" si="275"/>
        <v>780.60585379989482</v>
      </c>
      <c r="K602" s="307">
        <f t="shared" ca="1" si="276"/>
        <v>-4.2044656368404407</v>
      </c>
      <c r="L602" s="304">
        <f t="shared" ca="1" si="261"/>
        <v>780.61717667365872</v>
      </c>
      <c r="M602" s="306">
        <f t="shared" ca="1" si="277"/>
        <v>-1.4689091476453855</v>
      </c>
      <c r="N602" s="304">
        <f t="shared" ca="1" si="278"/>
        <v>-84.162294648239694</v>
      </c>
      <c r="P602" s="310">
        <f t="shared" ca="1" si="279"/>
        <v>23</v>
      </c>
      <c r="Q602" s="304">
        <f t="shared" ca="1" si="280"/>
        <v>0</v>
      </c>
      <c r="R602" s="306">
        <f t="shared" ca="1" si="281"/>
        <v>0</v>
      </c>
      <c r="S602" s="307">
        <f t="shared" ca="1" si="282"/>
        <v>8.0499999999999989</v>
      </c>
      <c r="T602" s="304">
        <f t="shared" ca="1" si="262"/>
        <v>78.970499999999987</v>
      </c>
      <c r="U602" s="311">
        <f t="shared" ca="1" si="263"/>
        <v>0</v>
      </c>
      <c r="V602" s="306">
        <f t="shared" ca="1" si="264"/>
        <v>1.2255151553381591</v>
      </c>
      <c r="W602" s="304">
        <f t="shared" ca="1" si="265"/>
        <v>58.258714104475573</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2.5220555134431866</v>
      </c>
      <c r="AH602" s="304">
        <f t="shared" ca="1" si="289"/>
        <v>-7.2370689237565546</v>
      </c>
    </row>
    <row r="603" spans="1:34" x14ac:dyDescent="0.3">
      <c r="A603" s="347">
        <f t="shared" ca="1" si="267"/>
        <v>1E-4</v>
      </c>
      <c r="B603" s="304">
        <f t="shared" ca="1" si="268"/>
        <v>33.908000000000477</v>
      </c>
      <c r="D603" s="306">
        <f t="shared" ca="1" si="269"/>
        <v>-0.73609334433826346</v>
      </c>
      <c r="E603" s="307">
        <f t="shared" ca="1" si="270"/>
        <v>-2.6104243687197402</v>
      </c>
      <c r="F603" s="304">
        <f t="shared" ca="1" si="271"/>
        <v>2.7122221141316842</v>
      </c>
      <c r="G603" s="306">
        <f t="shared" ca="1" si="272"/>
        <v>12.580424520841314</v>
      </c>
      <c r="H603" s="307">
        <f t="shared" ca="1" si="273"/>
        <v>-123.04749202753035</v>
      </c>
      <c r="I603" s="304">
        <f t="shared" ca="1" si="274"/>
        <v>123.68893392454206</v>
      </c>
      <c r="J603" s="306">
        <f t="shared" ca="1" si="275"/>
        <v>780.60585379989482</v>
      </c>
      <c r="K603" s="307">
        <f t="shared" ca="1" si="276"/>
        <v>-4.2167703729910722</v>
      </c>
      <c r="L603" s="304">
        <f t="shared" ca="1" si="261"/>
        <v>780.61724304491327</v>
      </c>
      <c r="M603" s="306">
        <f t="shared" ca="1" si="277"/>
        <v>-1.468909954334205</v>
      </c>
      <c r="N603" s="304">
        <f t="shared" ca="1" si="278"/>
        <v>-84.162340868104437</v>
      </c>
      <c r="P603" s="310">
        <f t="shared" ca="1" si="279"/>
        <v>23</v>
      </c>
      <c r="Q603" s="304">
        <f t="shared" ca="1" si="280"/>
        <v>0</v>
      </c>
      <c r="R603" s="306">
        <f t="shared" ca="1" si="281"/>
        <v>0</v>
      </c>
      <c r="S603" s="307">
        <f t="shared" ca="1" si="282"/>
        <v>8.0499999999999989</v>
      </c>
      <c r="T603" s="304">
        <f t="shared" ca="1" si="262"/>
        <v>78.970499999999987</v>
      </c>
      <c r="U603" s="311">
        <f t="shared" ca="1" si="263"/>
        <v>0</v>
      </c>
      <c r="V603" s="306">
        <f t="shared" ca="1" si="264"/>
        <v>1.2255166633032168</v>
      </c>
      <c r="W603" s="304">
        <f t="shared" ca="1" si="265"/>
        <v>58.259023370476989</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2.522017899941873</v>
      </c>
      <c r="AH603" s="304">
        <f t="shared" ca="1" si="289"/>
        <v>-7.2371073421708791</v>
      </c>
    </row>
    <row r="604" spans="1:34" x14ac:dyDescent="0.3">
      <c r="A604" s="347">
        <f t="shared" ca="1" si="267"/>
        <v>1E-4</v>
      </c>
      <c r="B604" s="304">
        <f t="shared" ca="1" si="268"/>
        <v>33.908100000000481</v>
      </c>
      <c r="D604" s="306">
        <f t="shared" ca="1" si="269"/>
        <v>-0.73609144403671301</v>
      </c>
      <c r="E604" s="307">
        <f t="shared" ca="1" si="270"/>
        <v>-2.6103855560206783</v>
      </c>
      <c r="F604" s="304">
        <f t="shared" ca="1" si="271"/>
        <v>2.712184242463155</v>
      </c>
      <c r="G604" s="306">
        <f t="shared" ca="1" si="272"/>
        <v>12.580350911696911</v>
      </c>
      <c r="H604" s="307">
        <f t="shared" ca="1" si="273"/>
        <v>-123.04775306608596</v>
      </c>
      <c r="I604" s="304">
        <f t="shared" ca="1" si="274"/>
        <v>123.68918612261098</v>
      </c>
      <c r="J604" s="306">
        <f t="shared" ca="1" si="275"/>
        <v>780.60585379989482</v>
      </c>
      <c r="K604" s="307">
        <f t="shared" ca="1" si="276"/>
        <v>-4.2290751352457532</v>
      </c>
      <c r="L604" s="304">
        <f t="shared" ca="1" si="261"/>
        <v>780.61730961026115</v>
      </c>
      <c r="M604" s="306">
        <f t="shared" ca="1" si="277"/>
        <v>-1.4689107610150147</v>
      </c>
      <c r="N604" s="304">
        <f t="shared" ca="1" si="278"/>
        <v>-84.16238708751024</v>
      </c>
      <c r="P604" s="310">
        <f t="shared" ca="1" si="279"/>
        <v>23</v>
      </c>
      <c r="Q604" s="304">
        <f t="shared" ca="1" si="280"/>
        <v>0</v>
      </c>
      <c r="R604" s="306">
        <f t="shared" ca="1" si="281"/>
        <v>0</v>
      </c>
      <c r="S604" s="307">
        <f t="shared" ca="1" si="282"/>
        <v>8.0499999999999989</v>
      </c>
      <c r="T604" s="304">
        <f t="shared" ca="1" si="262"/>
        <v>78.970499999999987</v>
      </c>
      <c r="U604" s="311">
        <f t="shared" ca="1" si="263"/>
        <v>0</v>
      </c>
      <c r="V604" s="306">
        <f t="shared" ca="1" si="264"/>
        <v>1.2255181712733301</v>
      </c>
      <c r="W604" s="304">
        <f t="shared" ca="1" si="265"/>
        <v>58.259332634244579</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2.5219802867037195</v>
      </c>
      <c r="AH604" s="304">
        <f t="shared" ca="1" si="289"/>
        <v>-7.2371457603077012</v>
      </c>
    </row>
    <row r="605" spans="1:34" x14ac:dyDescent="0.3">
      <c r="A605" s="347">
        <f t="shared" ca="1" si="267"/>
        <v>1E-4</v>
      </c>
      <c r="B605" s="304">
        <f t="shared" ca="1" si="268"/>
        <v>33.908200000000484</v>
      </c>
      <c r="D605" s="306">
        <f t="shared" ca="1" si="269"/>
        <v>-0.73608954370246604</v>
      </c>
      <c r="E605" s="307">
        <f t="shared" ca="1" si="270"/>
        <v>-2.6103467436019478</v>
      </c>
      <c r="F605" s="304">
        <f t="shared" ca="1" si="271"/>
        <v>2.7121463710835001</v>
      </c>
      <c r="G605" s="306">
        <f t="shared" ca="1" si="272"/>
        <v>12.580277302742541</v>
      </c>
      <c r="H605" s="307">
        <f t="shared" ca="1" si="273"/>
        <v>-123.04801410076033</v>
      </c>
      <c r="I605" s="304">
        <f t="shared" ca="1" si="274"/>
        <v>123.6894383169186</v>
      </c>
      <c r="J605" s="306">
        <f t="shared" ca="1" si="275"/>
        <v>780.60585379989482</v>
      </c>
      <c r="K605" s="307">
        <f t="shared" ca="1" si="276"/>
        <v>-4.2413799236040957</v>
      </c>
      <c r="L605" s="304">
        <f t="shared" ca="1" si="261"/>
        <v>780.61737636970338</v>
      </c>
      <c r="M605" s="306">
        <f t="shared" ca="1" si="277"/>
        <v>-1.4689115676878151</v>
      </c>
      <c r="N605" s="304">
        <f t="shared" ca="1" si="278"/>
        <v>-84.162433306457146</v>
      </c>
      <c r="P605" s="310">
        <f t="shared" ca="1" si="279"/>
        <v>23</v>
      </c>
      <c r="Q605" s="304">
        <f t="shared" ca="1" si="280"/>
        <v>0</v>
      </c>
      <c r="R605" s="306">
        <f t="shared" ca="1" si="281"/>
        <v>0</v>
      </c>
      <c r="S605" s="307">
        <f t="shared" ca="1" si="282"/>
        <v>8.0499999999999989</v>
      </c>
      <c r="T605" s="304">
        <f t="shared" ca="1" si="262"/>
        <v>78.970499999999987</v>
      </c>
      <c r="U605" s="311">
        <f t="shared" ca="1" si="263"/>
        <v>0</v>
      </c>
      <c r="V605" s="306">
        <f t="shared" ca="1" si="264"/>
        <v>1.2255196792484984</v>
      </c>
      <c r="W605" s="304">
        <f t="shared" ca="1" si="265"/>
        <v>58.259641895778302</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2.5219426737287156</v>
      </c>
      <c r="AH605" s="304">
        <f t="shared" ca="1" si="289"/>
        <v>-7.2371841781670296</v>
      </c>
    </row>
    <row r="606" spans="1:34" x14ac:dyDescent="0.3">
      <c r="A606" s="347">
        <f t="shared" ca="1" si="267"/>
        <v>1E-4</v>
      </c>
      <c r="B606" s="304">
        <f t="shared" ca="1" si="268"/>
        <v>33.908300000000487</v>
      </c>
      <c r="D606" s="306">
        <f t="shared" ca="1" si="269"/>
        <v>-0.73608764333552057</v>
      </c>
      <c r="E606" s="307">
        <f t="shared" ca="1" si="270"/>
        <v>-2.6103079314635549</v>
      </c>
      <c r="F606" s="304">
        <f t="shared" ca="1" si="271"/>
        <v>2.7121084999927239</v>
      </c>
      <c r="G606" s="306">
        <f t="shared" ca="1" si="272"/>
        <v>12.580203693978207</v>
      </c>
      <c r="H606" s="307">
        <f t="shared" ca="1" si="273"/>
        <v>-123.04827513155347</v>
      </c>
      <c r="I606" s="304">
        <f t="shared" ca="1" si="274"/>
        <v>123.68969050746493</v>
      </c>
      <c r="J606" s="306">
        <f t="shared" ca="1" si="275"/>
        <v>780.60585379989482</v>
      </c>
      <c r="K606" s="307">
        <f t="shared" ca="1" si="276"/>
        <v>-4.2536847380657115</v>
      </c>
      <c r="L606" s="304">
        <f t="shared" ca="1" si="261"/>
        <v>780.6174433232411</v>
      </c>
      <c r="M606" s="306">
        <f t="shared" ca="1" si="277"/>
        <v>-1.468912374352606</v>
      </c>
      <c r="N606" s="304">
        <f t="shared" ca="1" si="278"/>
        <v>-84.162479524945155</v>
      </c>
      <c r="P606" s="310">
        <f t="shared" ca="1" si="279"/>
        <v>23</v>
      </c>
      <c r="Q606" s="304">
        <f t="shared" ca="1" si="280"/>
        <v>0</v>
      </c>
      <c r="R606" s="306">
        <f t="shared" ca="1" si="281"/>
        <v>0</v>
      </c>
      <c r="S606" s="307">
        <f t="shared" ca="1" si="282"/>
        <v>8.0499999999999989</v>
      </c>
      <c r="T606" s="304">
        <f t="shared" ca="1" si="262"/>
        <v>78.970499999999987</v>
      </c>
      <c r="U606" s="311">
        <f t="shared" ca="1" si="263"/>
        <v>0</v>
      </c>
      <c r="V606" s="306">
        <f t="shared" ca="1" si="264"/>
        <v>1.2255211872287211</v>
      </c>
      <c r="W606" s="304">
        <f t="shared" ca="1" si="265"/>
        <v>58.259951155078092</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2.5219050610168692</v>
      </c>
      <c r="AH606" s="304">
        <f t="shared" ca="1" si="289"/>
        <v>-7.2372225957488583</v>
      </c>
    </row>
    <row r="607" spans="1:34" x14ac:dyDescent="0.3">
      <c r="A607" s="347">
        <f t="shared" ca="1" si="267"/>
        <v>1E-4</v>
      </c>
      <c r="B607" s="304">
        <f t="shared" ca="1" si="268"/>
        <v>33.908400000000491</v>
      </c>
      <c r="D607" s="306">
        <f t="shared" ca="1" si="269"/>
        <v>-0.73608574293587736</v>
      </c>
      <c r="E607" s="307">
        <f t="shared" ca="1" si="270"/>
        <v>-2.6102691196055057</v>
      </c>
      <c r="F607" s="304">
        <f t="shared" ca="1" si="271"/>
        <v>2.7120706291908334</v>
      </c>
      <c r="G607" s="306">
        <f t="shared" ca="1" si="272"/>
        <v>12.580130085403914</v>
      </c>
      <c r="H607" s="307">
        <f t="shared" ca="1" si="273"/>
        <v>-123.04853615846542</v>
      </c>
      <c r="I607" s="304">
        <f t="shared" ca="1" si="274"/>
        <v>123.68994269425004</v>
      </c>
      <c r="J607" s="306">
        <f t="shared" ca="1" si="275"/>
        <v>780.60585379989482</v>
      </c>
      <c r="K607" s="307">
        <f t="shared" ca="1" si="276"/>
        <v>-4.2659895786302124</v>
      </c>
      <c r="L607" s="304">
        <f t="shared" ca="1" si="261"/>
        <v>780.61751047087569</v>
      </c>
      <c r="M607" s="306">
        <f t="shared" ca="1" si="277"/>
        <v>-1.4689131810093876</v>
      </c>
      <c r="N607" s="304">
        <f t="shared" ca="1" si="278"/>
        <v>-84.162525742974253</v>
      </c>
      <c r="P607" s="310">
        <f t="shared" ca="1" si="279"/>
        <v>23</v>
      </c>
      <c r="Q607" s="304">
        <f t="shared" ca="1" si="280"/>
        <v>0</v>
      </c>
      <c r="R607" s="306">
        <f t="shared" ca="1" si="281"/>
        <v>0</v>
      </c>
      <c r="S607" s="307">
        <f t="shared" ca="1" si="282"/>
        <v>8.0499999999999989</v>
      </c>
      <c r="T607" s="304">
        <f t="shared" ca="1" si="262"/>
        <v>78.970499999999987</v>
      </c>
      <c r="U607" s="311">
        <f t="shared" ca="1" si="263"/>
        <v>0</v>
      </c>
      <c r="V607" s="306">
        <f t="shared" ca="1" si="264"/>
        <v>1.2255226952139993</v>
      </c>
      <c r="W607" s="304">
        <f t="shared" ca="1" si="265"/>
        <v>58.260260412144056</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2.5218674485681891</v>
      </c>
      <c r="AH607" s="304">
        <f t="shared" ca="1" si="289"/>
        <v>-7.23726101305318</v>
      </c>
    </row>
    <row r="608" spans="1:34" x14ac:dyDescent="0.3">
      <c r="A608" s="347">
        <f t="shared" ca="1" si="267"/>
        <v>1E-4</v>
      </c>
      <c r="B608" s="304">
        <f t="shared" ca="1" si="268"/>
        <v>33.908500000000494</v>
      </c>
      <c r="D608" s="306">
        <f t="shared" ca="1" si="269"/>
        <v>-0.73608384250353942</v>
      </c>
      <c r="E608" s="307">
        <f t="shared" ca="1" si="270"/>
        <v>-2.6102303080277887</v>
      </c>
      <c r="F608" s="304">
        <f t="shared" ca="1" si="271"/>
        <v>2.712032758677819</v>
      </c>
      <c r="G608" s="306">
        <f t="shared" ca="1" si="272"/>
        <v>12.580056477019664</v>
      </c>
      <c r="H608" s="307">
        <f t="shared" ca="1" si="273"/>
        <v>-123.04879718149623</v>
      </c>
      <c r="I608" s="304">
        <f t="shared" ca="1" si="274"/>
        <v>123.69019487727391</v>
      </c>
      <c r="J608" s="306">
        <f t="shared" ca="1" si="275"/>
        <v>780.60585379989482</v>
      </c>
      <c r="K608" s="307">
        <f t="shared" ca="1" si="276"/>
        <v>-4.2782944452972105</v>
      </c>
      <c r="L608" s="304">
        <f t="shared" ca="1" si="261"/>
        <v>780.61757781260815</v>
      </c>
      <c r="M608" s="306">
        <f t="shared" ca="1" si="277"/>
        <v>-1.4689139876581603</v>
      </c>
      <c r="N608" s="304">
        <f t="shared" ca="1" si="278"/>
        <v>-84.162571960544483</v>
      </c>
      <c r="P608" s="310">
        <f t="shared" ca="1" si="279"/>
        <v>23</v>
      </c>
      <c r="Q608" s="304">
        <f t="shared" ca="1" si="280"/>
        <v>0</v>
      </c>
      <c r="R608" s="306">
        <f t="shared" ca="1" si="281"/>
        <v>0</v>
      </c>
      <c r="S608" s="307">
        <f t="shared" ca="1" si="282"/>
        <v>8.0499999999999989</v>
      </c>
      <c r="T608" s="304">
        <f t="shared" ca="1" si="262"/>
        <v>78.970499999999987</v>
      </c>
      <c r="U608" s="311">
        <f t="shared" ca="1" si="263"/>
        <v>0</v>
      </c>
      <c r="V608" s="306">
        <f t="shared" ca="1" si="264"/>
        <v>1.2255242032043316</v>
      </c>
      <c r="W608" s="304">
        <f t="shared" ca="1" si="265"/>
        <v>58.260569666976089</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2.5218298363826586</v>
      </c>
      <c r="AH608" s="304">
        <f t="shared" ca="1" si="289"/>
        <v>-7.2372994300800082</v>
      </c>
    </row>
    <row r="609" spans="1:34" x14ac:dyDescent="0.3">
      <c r="A609" s="347">
        <f t="shared" ca="1" si="267"/>
        <v>1E-4</v>
      </c>
      <c r="B609" s="304">
        <f t="shared" ca="1" si="268"/>
        <v>33.908600000000497</v>
      </c>
      <c r="D609" s="306">
        <f t="shared" ca="1" si="269"/>
        <v>-0.73608194203850374</v>
      </c>
      <c r="E609" s="307">
        <f t="shared" ca="1" si="270"/>
        <v>-2.6101914967304163</v>
      </c>
      <c r="F609" s="304">
        <f t="shared" ca="1" si="271"/>
        <v>2.7119948884536909</v>
      </c>
      <c r="G609" s="306">
        <f t="shared" ca="1" si="272"/>
        <v>12.579982868825461</v>
      </c>
      <c r="H609" s="307">
        <f t="shared" ca="1" si="273"/>
        <v>-123.0490582006459</v>
      </c>
      <c r="I609" s="304">
        <f t="shared" ca="1" si="274"/>
        <v>123.6904470565366</v>
      </c>
      <c r="J609" s="306">
        <f t="shared" ca="1" si="275"/>
        <v>780.60585379989482</v>
      </c>
      <c r="K609" s="307">
        <f t="shared" ca="1" si="276"/>
        <v>-4.2905993380663174</v>
      </c>
      <c r="L609" s="304">
        <f t="shared" ca="1" si="261"/>
        <v>780.61764534843985</v>
      </c>
      <c r="M609" s="306">
        <f t="shared" ca="1" si="277"/>
        <v>-1.4689147942989238</v>
      </c>
      <c r="N609" s="304">
        <f t="shared" ca="1" si="278"/>
        <v>-84.162618177655816</v>
      </c>
      <c r="P609" s="310">
        <f t="shared" ca="1" si="279"/>
        <v>23</v>
      </c>
      <c r="Q609" s="304">
        <f t="shared" ca="1" si="280"/>
        <v>0</v>
      </c>
      <c r="R609" s="306">
        <f t="shared" ca="1" si="281"/>
        <v>0</v>
      </c>
      <c r="S609" s="307">
        <f t="shared" ca="1" si="282"/>
        <v>8.0499999999999989</v>
      </c>
      <c r="T609" s="304">
        <f t="shared" ca="1" si="262"/>
        <v>78.970499999999987</v>
      </c>
      <c r="U609" s="311">
        <f t="shared" ca="1" si="263"/>
        <v>0</v>
      </c>
      <c r="V609" s="306">
        <f t="shared" ca="1" si="264"/>
        <v>1.2255257111997195</v>
      </c>
      <c r="W609" s="304">
        <f t="shared" ca="1" si="265"/>
        <v>58.260878919574239</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2.521792224460297</v>
      </c>
      <c r="AH609" s="304">
        <f t="shared" ca="1" si="289"/>
        <v>-7.2373378468293286</v>
      </c>
    </row>
    <row r="610" spans="1:34" x14ac:dyDescent="0.3">
      <c r="A610" s="347">
        <f t="shared" ca="1" si="267"/>
        <v>1E-4</v>
      </c>
      <c r="B610" s="304">
        <f t="shared" ca="1" si="268"/>
        <v>33.908700000000501</v>
      </c>
      <c r="D610" s="306">
        <f t="shared" ca="1" si="269"/>
        <v>-0.73608004154077411</v>
      </c>
      <c r="E610" s="307">
        <f t="shared" ca="1" si="270"/>
        <v>-2.6101526857133832</v>
      </c>
      <c r="F610" s="304">
        <f t="shared" ca="1" si="271"/>
        <v>2.7119570185184454</v>
      </c>
      <c r="G610" s="306">
        <f t="shared" ca="1" si="272"/>
        <v>12.579909260821307</v>
      </c>
      <c r="H610" s="307">
        <f t="shared" ca="1" si="273"/>
        <v>-123.04931921591448</v>
      </c>
      <c r="I610" s="304">
        <f t="shared" ca="1" si="274"/>
        <v>123.69069923203813</v>
      </c>
      <c r="J610" s="306">
        <f t="shared" ca="1" si="275"/>
        <v>780.60585379989482</v>
      </c>
      <c r="K610" s="307">
        <f t="shared" ca="1" si="276"/>
        <v>-4.3029042569371452</v>
      </c>
      <c r="L610" s="304">
        <f t="shared" ca="1" si="261"/>
        <v>780.61771307837171</v>
      </c>
      <c r="M610" s="306">
        <f t="shared" ca="1" si="277"/>
        <v>-1.4689156009316784</v>
      </c>
      <c r="N610" s="304">
        <f t="shared" ca="1" si="278"/>
        <v>-84.162664394308266</v>
      </c>
      <c r="P610" s="310">
        <f t="shared" ca="1" si="279"/>
        <v>23</v>
      </c>
      <c r="Q610" s="304">
        <f t="shared" ca="1" si="280"/>
        <v>0</v>
      </c>
      <c r="R610" s="306">
        <f t="shared" ca="1" si="281"/>
        <v>0</v>
      </c>
      <c r="S610" s="307">
        <f t="shared" ca="1" si="282"/>
        <v>8.0499999999999989</v>
      </c>
      <c r="T610" s="304">
        <f t="shared" ca="1" si="262"/>
        <v>78.970499999999987</v>
      </c>
      <c r="U610" s="311">
        <f t="shared" ca="1" si="263"/>
        <v>0</v>
      </c>
      <c r="V610" s="306">
        <f t="shared" ca="1" si="264"/>
        <v>1.2255272192001618</v>
      </c>
      <c r="W610" s="304">
        <f t="shared" ca="1" si="265"/>
        <v>58.261188169938478</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2.5217546128010957</v>
      </c>
      <c r="AH610" s="304">
        <f t="shared" ca="1" si="289"/>
        <v>-7.2373762633011482</v>
      </c>
    </row>
    <row r="611" spans="1:34" x14ac:dyDescent="0.3">
      <c r="A611" s="347">
        <f t="shared" ca="1" si="267"/>
        <v>1E-4</v>
      </c>
      <c r="B611" s="304">
        <f t="shared" ca="1" si="268"/>
        <v>33.908800000000504</v>
      </c>
      <c r="D611" s="306">
        <f t="shared" ca="1" si="269"/>
        <v>-0.73607814101035018</v>
      </c>
      <c r="E611" s="307">
        <f t="shared" ca="1" si="270"/>
        <v>-2.6101138749766903</v>
      </c>
      <c r="F611" s="304">
        <f t="shared" ca="1" si="271"/>
        <v>2.711919148872084</v>
      </c>
      <c r="G611" s="306">
        <f t="shared" ca="1" si="272"/>
        <v>12.579835653007205</v>
      </c>
      <c r="H611" s="307">
        <f t="shared" ca="1" si="273"/>
        <v>-123.04958022730197</v>
      </c>
      <c r="I611" s="304">
        <f t="shared" ca="1" si="274"/>
        <v>123.69095140377851</v>
      </c>
      <c r="J611" s="306">
        <f t="shared" ca="1" si="275"/>
        <v>780.60585379989482</v>
      </c>
      <c r="K611" s="307">
        <f t="shared" ca="1" si="276"/>
        <v>-4.3152092019093056</v>
      </c>
      <c r="L611" s="304">
        <f t="shared" ca="1" si="261"/>
        <v>780.6177810024052</v>
      </c>
      <c r="M611" s="306">
        <f t="shared" ca="1" si="277"/>
        <v>-1.4689164075564241</v>
      </c>
      <c r="N611" s="304">
        <f t="shared" ca="1" si="278"/>
        <v>-84.162710610501847</v>
      </c>
      <c r="P611" s="310">
        <f t="shared" ca="1" si="279"/>
        <v>23</v>
      </c>
      <c r="Q611" s="304">
        <f t="shared" ca="1" si="280"/>
        <v>0</v>
      </c>
      <c r="R611" s="306">
        <f t="shared" ca="1" si="281"/>
        <v>0</v>
      </c>
      <c r="S611" s="307">
        <f t="shared" ca="1" si="282"/>
        <v>8.0499999999999989</v>
      </c>
      <c r="T611" s="304">
        <f t="shared" ca="1" si="262"/>
        <v>78.970499999999987</v>
      </c>
      <c r="U611" s="311">
        <f t="shared" ca="1" si="263"/>
        <v>0</v>
      </c>
      <c r="V611" s="306">
        <f t="shared" ca="1" si="264"/>
        <v>1.225528727205659</v>
      </c>
      <c r="W611" s="304">
        <f t="shared" ca="1" si="265"/>
        <v>58.261497418068807</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2.5217170014050563</v>
      </c>
      <c r="AH611" s="304">
        <f t="shared" ca="1" si="289"/>
        <v>-7.2374146794954637</v>
      </c>
    </row>
    <row r="612" spans="1:34" x14ac:dyDescent="0.3">
      <c r="A612" s="347">
        <f t="shared" ca="1" si="267"/>
        <v>1E-4</v>
      </c>
      <c r="B612" s="304">
        <f t="shared" ca="1" si="268"/>
        <v>33.908900000000507</v>
      </c>
      <c r="D612" s="306">
        <f t="shared" ca="1" si="269"/>
        <v>-0.73607624044723374</v>
      </c>
      <c r="E612" s="307">
        <f t="shared" ca="1" si="270"/>
        <v>-2.6100750645203412</v>
      </c>
      <c r="F612" s="304">
        <f t="shared" ca="1" si="271"/>
        <v>2.7118812795146097</v>
      </c>
      <c r="G612" s="306">
        <f t="shared" ca="1" si="272"/>
        <v>12.579762045383161</v>
      </c>
      <c r="H612" s="307">
        <f t="shared" ca="1" si="273"/>
        <v>-123.04984123480843</v>
      </c>
      <c r="I612" s="304">
        <f t="shared" ca="1" si="274"/>
        <v>123.69120357175777</v>
      </c>
      <c r="J612" s="306">
        <f t="shared" ca="1" si="275"/>
        <v>780.60585379989482</v>
      </c>
      <c r="K612" s="307">
        <f t="shared" ca="1" si="276"/>
        <v>-4.3275141729824114</v>
      </c>
      <c r="L612" s="304">
        <f t="shared" ca="1" si="261"/>
        <v>780.61784912054122</v>
      </c>
      <c r="M612" s="306">
        <f t="shared" ca="1" si="277"/>
        <v>-1.4689172141731612</v>
      </c>
      <c r="N612" s="304">
        <f t="shared" ca="1" si="278"/>
        <v>-84.162756826236574</v>
      </c>
      <c r="P612" s="310">
        <f t="shared" ca="1" si="279"/>
        <v>23</v>
      </c>
      <c r="Q612" s="304">
        <f t="shared" ca="1" si="280"/>
        <v>0</v>
      </c>
      <c r="R612" s="306">
        <f t="shared" ca="1" si="281"/>
        <v>0</v>
      </c>
      <c r="S612" s="307">
        <f t="shared" ca="1" si="282"/>
        <v>8.0499999999999989</v>
      </c>
      <c r="T612" s="304">
        <f t="shared" ca="1" si="262"/>
        <v>78.970499999999987</v>
      </c>
      <c r="U612" s="311">
        <f t="shared" ca="1" si="263"/>
        <v>0</v>
      </c>
      <c r="V612" s="306">
        <f t="shared" ca="1" si="264"/>
        <v>1.2255302352162112</v>
      </c>
      <c r="W612" s="304">
        <f t="shared" ca="1" si="265"/>
        <v>58.261806663965217</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2.5216793902721824</v>
      </c>
      <c r="AH612" s="304">
        <f t="shared" ca="1" si="289"/>
        <v>-7.2374530954122749</v>
      </c>
    </row>
    <row r="613" spans="1:34" x14ac:dyDescent="0.3">
      <c r="A613" s="347">
        <f t="shared" ca="1" si="267"/>
        <v>1E-4</v>
      </c>
      <c r="B613" s="304">
        <f t="shared" ca="1" si="268"/>
        <v>33.909000000000511</v>
      </c>
      <c r="D613" s="306">
        <f t="shared" ca="1" si="269"/>
        <v>-0.73607433985142301</v>
      </c>
      <c r="E613" s="307">
        <f t="shared" ca="1" si="270"/>
        <v>-2.6100362543443332</v>
      </c>
      <c r="F613" s="304">
        <f t="shared" ca="1" si="271"/>
        <v>2.7118434104460207</v>
      </c>
      <c r="G613" s="306">
        <f t="shared" ca="1" si="272"/>
        <v>12.579688437949176</v>
      </c>
      <c r="H613" s="307">
        <f t="shared" ca="1" si="273"/>
        <v>-123.05010223843387</v>
      </c>
      <c r="I613" s="304">
        <f t="shared" ca="1" si="274"/>
        <v>123.69145573597595</v>
      </c>
      <c r="J613" s="306">
        <f t="shared" ca="1" si="275"/>
        <v>780.60585379989482</v>
      </c>
      <c r="K613" s="307">
        <f t="shared" ca="1" si="276"/>
        <v>-4.3398191701560735</v>
      </c>
      <c r="L613" s="304">
        <f t="shared" ca="1" si="261"/>
        <v>780.61791743278116</v>
      </c>
      <c r="M613" s="306">
        <f t="shared" ca="1" si="277"/>
        <v>-1.4689180207818899</v>
      </c>
      <c r="N613" s="304">
        <f t="shared" ca="1" si="278"/>
        <v>-84.162803041512447</v>
      </c>
      <c r="P613" s="310">
        <f t="shared" ca="1" si="279"/>
        <v>23</v>
      </c>
      <c r="Q613" s="304">
        <f t="shared" ca="1" si="280"/>
        <v>0</v>
      </c>
      <c r="R613" s="306">
        <f t="shared" ca="1" si="281"/>
        <v>0</v>
      </c>
      <c r="S613" s="307">
        <f t="shared" ca="1" si="282"/>
        <v>8.0499999999999989</v>
      </c>
      <c r="T613" s="304">
        <f t="shared" ca="1" si="262"/>
        <v>78.970499999999987</v>
      </c>
      <c r="U613" s="311">
        <f t="shared" ca="1" si="263"/>
        <v>0</v>
      </c>
      <c r="V613" s="306">
        <f t="shared" ca="1" si="264"/>
        <v>1.2255317432318178</v>
      </c>
      <c r="W613" s="304">
        <f t="shared" ca="1" si="265"/>
        <v>58.262115907627702</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2.521641779402473</v>
      </c>
      <c r="AH613" s="304">
        <f t="shared" ca="1" si="289"/>
        <v>-7.237491511051581</v>
      </c>
    </row>
    <row r="614" spans="1:34" x14ac:dyDescent="0.3">
      <c r="A614" s="347">
        <f t="shared" ca="1" si="267"/>
        <v>1E-4</v>
      </c>
      <c r="B614" s="304">
        <f t="shared" ca="1" si="268"/>
        <v>33.909100000000514</v>
      </c>
      <c r="D614" s="306">
        <f t="shared" ca="1" si="269"/>
        <v>-0.73607243922291921</v>
      </c>
      <c r="E614" s="307">
        <f t="shared" ca="1" si="270"/>
        <v>-2.6099974444486698</v>
      </c>
      <c r="F614" s="304">
        <f t="shared" ca="1" si="271"/>
        <v>2.7118055416663203</v>
      </c>
      <c r="G614" s="306">
        <f t="shared" ca="1" si="272"/>
        <v>12.579614830705253</v>
      </c>
      <c r="H614" s="307">
        <f t="shared" ca="1" si="273"/>
        <v>-123.05036323817831</v>
      </c>
      <c r="I614" s="304">
        <f t="shared" ca="1" si="274"/>
        <v>123.69170789643307</v>
      </c>
      <c r="J614" s="306">
        <f t="shared" ca="1" si="275"/>
        <v>780.60585379989482</v>
      </c>
      <c r="K614" s="307">
        <f t="shared" ca="1" si="276"/>
        <v>-4.352124193429904</v>
      </c>
      <c r="L614" s="304">
        <f t="shared" ca="1" si="261"/>
        <v>780.61798593912613</v>
      </c>
      <c r="M614" s="306">
        <f t="shared" ca="1" si="277"/>
        <v>-1.4689188273826101</v>
      </c>
      <c r="N614" s="304">
        <f t="shared" ca="1" si="278"/>
        <v>-84.162849256329466</v>
      </c>
      <c r="P614" s="310">
        <f t="shared" ca="1" si="279"/>
        <v>23</v>
      </c>
      <c r="Q614" s="304">
        <f t="shared" ca="1" si="280"/>
        <v>0</v>
      </c>
      <c r="R614" s="306">
        <f t="shared" ca="1" si="281"/>
        <v>0</v>
      </c>
      <c r="S614" s="307">
        <f t="shared" ca="1" si="282"/>
        <v>8.0499999999999989</v>
      </c>
      <c r="T614" s="304">
        <f t="shared" ca="1" si="262"/>
        <v>78.970499999999987</v>
      </c>
      <c r="U614" s="311">
        <f t="shared" ca="1" si="263"/>
        <v>0</v>
      </c>
      <c r="V614" s="306">
        <f t="shared" ca="1" si="264"/>
        <v>1.225533251252479</v>
      </c>
      <c r="W614" s="304">
        <f t="shared" ca="1" si="265"/>
        <v>58.262425149056234</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2.5216041687959319</v>
      </c>
      <c r="AH614" s="304">
        <f t="shared" ca="1" si="289"/>
        <v>-7.2375299264133801</v>
      </c>
    </row>
    <row r="615" spans="1:34" x14ac:dyDescent="0.3">
      <c r="A615" s="347">
        <f t="shared" ca="1" si="267"/>
        <v>1E-4</v>
      </c>
      <c r="B615" s="304">
        <f t="shared" ca="1" si="268"/>
        <v>33.909200000000517</v>
      </c>
      <c r="D615" s="306">
        <f t="shared" ca="1" si="269"/>
        <v>-0.73607053856172389</v>
      </c>
      <c r="E615" s="307">
        <f t="shared" ca="1" si="270"/>
        <v>-2.6099586348333537</v>
      </c>
      <c r="F615" s="304">
        <f t="shared" ca="1" si="271"/>
        <v>2.7117676731755118</v>
      </c>
      <c r="G615" s="306">
        <f t="shared" ca="1" si="272"/>
        <v>12.579541223651397</v>
      </c>
      <c r="H615" s="307">
        <f t="shared" ca="1" si="273"/>
        <v>-123.05062423404179</v>
      </c>
      <c r="I615" s="304">
        <f t="shared" ca="1" si="274"/>
        <v>123.69196005312915</v>
      </c>
      <c r="J615" s="306">
        <f t="shared" ca="1" si="275"/>
        <v>780.60585379989482</v>
      </c>
      <c r="K615" s="307">
        <f t="shared" ca="1" si="276"/>
        <v>-4.3644292428035154</v>
      </c>
      <c r="L615" s="304">
        <f t="shared" ca="1" si="261"/>
        <v>780.61805463957728</v>
      </c>
      <c r="M615" s="306">
        <f t="shared" ca="1" si="277"/>
        <v>-1.4689196339753221</v>
      </c>
      <c r="N615" s="304">
        <f t="shared" ca="1" si="278"/>
        <v>-84.162895470687644</v>
      </c>
      <c r="P615" s="310">
        <f t="shared" ca="1" si="279"/>
        <v>23</v>
      </c>
      <c r="Q615" s="304">
        <f t="shared" ca="1" si="280"/>
        <v>0</v>
      </c>
      <c r="R615" s="306">
        <f t="shared" ca="1" si="281"/>
        <v>0</v>
      </c>
      <c r="S615" s="307">
        <f t="shared" ca="1" si="282"/>
        <v>8.0499999999999989</v>
      </c>
      <c r="T615" s="304">
        <f t="shared" ca="1" si="262"/>
        <v>78.970499999999987</v>
      </c>
      <c r="U615" s="311">
        <f t="shared" ca="1" si="263"/>
        <v>0</v>
      </c>
      <c r="V615" s="306">
        <f t="shared" ca="1" si="264"/>
        <v>1.2255347592781951</v>
      </c>
      <c r="W615" s="304">
        <f t="shared" ca="1" si="265"/>
        <v>58.262734388250834</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2.5215665584525579</v>
      </c>
      <c r="AH615" s="304">
        <f t="shared" ca="1" si="289"/>
        <v>-7.2375683414976697</v>
      </c>
    </row>
    <row r="616" spans="1:34" x14ac:dyDescent="0.3">
      <c r="A616" s="347">
        <f t="shared" ca="1" si="267"/>
        <v>1E-4</v>
      </c>
      <c r="B616" s="304">
        <f t="shared" ca="1" si="268"/>
        <v>33.90930000000052</v>
      </c>
      <c r="D616" s="306">
        <f t="shared" ca="1" si="269"/>
        <v>-0.73606863786783716</v>
      </c>
      <c r="E616" s="307">
        <f t="shared" ca="1" si="270"/>
        <v>-2.6099198254983831</v>
      </c>
      <c r="F616" s="304">
        <f t="shared" ca="1" si="271"/>
        <v>2.7117298049735936</v>
      </c>
      <c r="G616" s="306">
        <f t="shared" ca="1" si="272"/>
        <v>12.57946761678761</v>
      </c>
      <c r="H616" s="307">
        <f t="shared" ca="1" si="273"/>
        <v>-123.05088522602433</v>
      </c>
      <c r="I616" s="304">
        <f t="shared" ca="1" si="274"/>
        <v>123.69221220606423</v>
      </c>
      <c r="J616" s="306">
        <f t="shared" ca="1" si="275"/>
        <v>780.60585379989482</v>
      </c>
      <c r="K616" s="307">
        <f t="shared" ca="1" si="276"/>
        <v>-4.3767343182765188</v>
      </c>
      <c r="L616" s="304">
        <f t="shared" ca="1" si="261"/>
        <v>780.61812353413586</v>
      </c>
      <c r="M616" s="306">
        <f t="shared" ca="1" si="277"/>
        <v>-1.4689204405600258</v>
      </c>
      <c r="N616" s="304">
        <f t="shared" ca="1" si="278"/>
        <v>-84.162941684586983</v>
      </c>
      <c r="P616" s="310">
        <f t="shared" ca="1" si="279"/>
        <v>23</v>
      </c>
      <c r="Q616" s="304">
        <f t="shared" ca="1" si="280"/>
        <v>0</v>
      </c>
      <c r="R616" s="306">
        <f t="shared" ca="1" si="281"/>
        <v>0</v>
      </c>
      <c r="S616" s="307">
        <f t="shared" ca="1" si="282"/>
        <v>8.0499999999999989</v>
      </c>
      <c r="T616" s="304">
        <f t="shared" ca="1" si="262"/>
        <v>78.970499999999987</v>
      </c>
      <c r="U616" s="311">
        <f t="shared" ca="1" si="263"/>
        <v>0</v>
      </c>
      <c r="V616" s="306">
        <f t="shared" ca="1" si="264"/>
        <v>1.2255362673089658</v>
      </c>
      <c r="W616" s="304">
        <f t="shared" ca="1" si="265"/>
        <v>58.263043625211502</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2.521528948372354</v>
      </c>
      <c r="AH616" s="304">
        <f t="shared" ca="1" si="289"/>
        <v>-7.2376067563044524</v>
      </c>
    </row>
    <row r="617" spans="1:34" x14ac:dyDescent="0.3">
      <c r="A617" s="347">
        <f t="shared" ca="1" si="267"/>
        <v>1E-4</v>
      </c>
      <c r="B617" s="304">
        <f t="shared" ca="1" si="268"/>
        <v>33.909400000000524</v>
      </c>
      <c r="D617" s="306">
        <f t="shared" ca="1" si="269"/>
        <v>-0.7360667371412607</v>
      </c>
      <c r="E617" s="307">
        <f t="shared" ca="1" si="270"/>
        <v>-2.6098810164437563</v>
      </c>
      <c r="F617" s="304">
        <f t="shared" ca="1" si="271"/>
        <v>2.7116919370605643</v>
      </c>
      <c r="G617" s="306">
        <f t="shared" ca="1" si="272"/>
        <v>12.579394010113896</v>
      </c>
      <c r="H617" s="307">
        <f t="shared" ca="1" si="273"/>
        <v>-123.05114621412598</v>
      </c>
      <c r="I617" s="304">
        <f t="shared" ca="1" si="274"/>
        <v>123.6924643552383</v>
      </c>
      <c r="J617" s="306">
        <f t="shared" ca="1" si="275"/>
        <v>780.60585379989482</v>
      </c>
      <c r="K617" s="307">
        <f t="shared" ca="1" si="276"/>
        <v>-4.3890394198485261</v>
      </c>
      <c r="L617" s="304">
        <f t="shared" ca="1" si="261"/>
        <v>780.61819262280312</v>
      </c>
      <c r="M617" s="306">
        <f t="shared" ca="1" si="277"/>
        <v>-1.4689212471367215</v>
      </c>
      <c r="N617" s="304">
        <f t="shared" ca="1" si="278"/>
        <v>-84.162987898027495</v>
      </c>
      <c r="P617" s="310">
        <f t="shared" ca="1" si="279"/>
        <v>23</v>
      </c>
      <c r="Q617" s="304">
        <f t="shared" ca="1" si="280"/>
        <v>0</v>
      </c>
      <c r="R617" s="306">
        <f t="shared" ca="1" si="281"/>
        <v>0</v>
      </c>
      <c r="S617" s="307">
        <f t="shared" ca="1" si="282"/>
        <v>8.0499999999999989</v>
      </c>
      <c r="T617" s="304">
        <f t="shared" ca="1" si="262"/>
        <v>78.970499999999987</v>
      </c>
      <c r="U617" s="311">
        <f t="shared" ca="1" si="263"/>
        <v>0</v>
      </c>
      <c r="V617" s="306">
        <f t="shared" ca="1" si="264"/>
        <v>1.2255377753447911</v>
      </c>
      <c r="W617" s="304">
        <f t="shared" ca="1" si="265"/>
        <v>58.263352859938202</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2.5214913385553182</v>
      </c>
      <c r="AH617" s="304">
        <f t="shared" ca="1" si="289"/>
        <v>-7.2376451708337282</v>
      </c>
    </row>
    <row r="618" spans="1:34" x14ac:dyDescent="0.3">
      <c r="A618" s="347">
        <f t="shared" ca="1" si="267"/>
        <v>1E-4</v>
      </c>
      <c r="B618" s="304">
        <f t="shared" ca="1" si="268"/>
        <v>33.909500000000527</v>
      </c>
      <c r="D618" s="306">
        <f t="shared" ca="1" si="269"/>
        <v>-0.73606483638199405</v>
      </c>
      <c r="E618" s="307">
        <f t="shared" ca="1" si="270"/>
        <v>-2.6098422076694794</v>
      </c>
      <c r="F618" s="304">
        <f t="shared" ca="1" si="271"/>
        <v>2.7116540694364306</v>
      </c>
      <c r="G618" s="306">
        <f t="shared" ca="1" si="272"/>
        <v>12.579320403630257</v>
      </c>
      <c r="H618" s="307">
        <f t="shared" ca="1" si="273"/>
        <v>-123.05140719834675</v>
      </c>
      <c r="I618" s="304">
        <f t="shared" ca="1" si="274"/>
        <v>123.69271650065144</v>
      </c>
      <c r="J618" s="306">
        <f t="shared" ca="1" si="275"/>
        <v>780.60585379989482</v>
      </c>
      <c r="K618" s="307">
        <f t="shared" ca="1" si="276"/>
        <v>-4.4013445475191499</v>
      </c>
      <c r="L618" s="304">
        <f t="shared" ca="1" si="261"/>
        <v>780.61826190557997</v>
      </c>
      <c r="M618" s="306">
        <f t="shared" ca="1" si="277"/>
        <v>-1.4689220537054093</v>
      </c>
      <c r="N618" s="304">
        <f t="shared" ca="1" si="278"/>
        <v>-84.163034111009196</v>
      </c>
      <c r="P618" s="310">
        <f t="shared" ca="1" si="279"/>
        <v>23</v>
      </c>
      <c r="Q618" s="304">
        <f t="shared" ca="1" si="280"/>
        <v>0</v>
      </c>
      <c r="R618" s="306">
        <f t="shared" ca="1" si="281"/>
        <v>0</v>
      </c>
      <c r="S618" s="307">
        <f t="shared" ca="1" si="282"/>
        <v>8.0499999999999989</v>
      </c>
      <c r="T618" s="304">
        <f t="shared" ca="1" si="262"/>
        <v>78.970499999999987</v>
      </c>
      <c r="U618" s="311">
        <f t="shared" ca="1" si="263"/>
        <v>0</v>
      </c>
      <c r="V618" s="306">
        <f t="shared" ca="1" si="264"/>
        <v>1.2255392833856704</v>
      </c>
      <c r="W618" s="304">
        <f t="shared" ca="1" si="265"/>
        <v>58.263662092430927</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2.5214537290014558</v>
      </c>
      <c r="AH618" s="304">
        <f t="shared" ca="1" si="289"/>
        <v>-7.2376835850854917</v>
      </c>
    </row>
    <row r="619" spans="1:34" x14ac:dyDescent="0.3">
      <c r="A619" s="347">
        <f t="shared" ca="1" si="267"/>
        <v>1E-4</v>
      </c>
      <c r="B619" s="304">
        <f t="shared" ca="1" si="268"/>
        <v>33.90960000000053</v>
      </c>
      <c r="D619" s="306">
        <f t="shared" ca="1" si="269"/>
        <v>-0.7360629355900371</v>
      </c>
      <c r="E619" s="307">
        <f t="shared" ca="1" si="270"/>
        <v>-2.6098033991755516</v>
      </c>
      <c r="F619" s="304">
        <f t="shared" ca="1" si="271"/>
        <v>2.7116162021011911</v>
      </c>
      <c r="G619" s="306">
        <f t="shared" ca="1" si="272"/>
        <v>12.579246797336697</v>
      </c>
      <c r="H619" s="307">
        <f t="shared" ca="1" si="273"/>
        <v>-123.05166817868667</v>
      </c>
      <c r="I619" s="304">
        <f t="shared" ca="1" si="274"/>
        <v>123.69296864230365</v>
      </c>
      <c r="J619" s="306">
        <f t="shared" ca="1" si="275"/>
        <v>780.60585379989482</v>
      </c>
      <c r="K619" s="307">
        <f t="shared" ca="1" si="276"/>
        <v>-4.4136497012880014</v>
      </c>
      <c r="L619" s="304">
        <f t="shared" ca="1" si="261"/>
        <v>780.61833138246789</v>
      </c>
      <c r="M619" s="306">
        <f t="shared" ca="1" si="277"/>
        <v>-1.4689228602660891</v>
      </c>
      <c r="N619" s="304">
        <f t="shared" ca="1" si="278"/>
        <v>-84.163080323532071</v>
      </c>
      <c r="P619" s="310">
        <f t="shared" ca="1" si="279"/>
        <v>23</v>
      </c>
      <c r="Q619" s="304">
        <f t="shared" ca="1" si="280"/>
        <v>0</v>
      </c>
      <c r="R619" s="306">
        <f t="shared" ca="1" si="281"/>
        <v>0</v>
      </c>
      <c r="S619" s="307">
        <f t="shared" ca="1" si="282"/>
        <v>8.0499999999999989</v>
      </c>
      <c r="T619" s="304">
        <f t="shared" ca="1" si="262"/>
        <v>78.970499999999987</v>
      </c>
      <c r="U619" s="311">
        <f t="shared" ca="1" si="263"/>
        <v>0</v>
      </c>
      <c r="V619" s="306">
        <f t="shared" ca="1" si="264"/>
        <v>1.2255407914316048</v>
      </c>
      <c r="W619" s="304">
        <f t="shared" ca="1" si="265"/>
        <v>58.263971322689706</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2.521416119710767</v>
      </c>
      <c r="AH619" s="304">
        <f t="shared" ca="1" si="289"/>
        <v>-7.237721999059743</v>
      </c>
    </row>
    <row r="620" spans="1:34" x14ac:dyDescent="0.3">
      <c r="A620" s="347">
        <f t="shared" ca="1" si="267"/>
        <v>1E-4</v>
      </c>
      <c r="B620" s="304">
        <f t="shared" ca="1" si="268"/>
        <v>33.909700000000534</v>
      </c>
      <c r="D620" s="306">
        <f t="shared" ca="1" si="269"/>
        <v>-0.73606103476539364</v>
      </c>
      <c r="E620" s="307">
        <f t="shared" ca="1" si="270"/>
        <v>-2.6097645909619711</v>
      </c>
      <c r="F620" s="304">
        <f t="shared" ca="1" si="271"/>
        <v>2.711578335054845</v>
      </c>
      <c r="G620" s="306">
        <f t="shared" ca="1" si="272"/>
        <v>12.57917319123322</v>
      </c>
      <c r="H620" s="307">
        <f t="shared" ca="1" si="273"/>
        <v>-123.05192915514577</v>
      </c>
      <c r="I620" s="304">
        <f t="shared" ca="1" si="274"/>
        <v>123.69322078019496</v>
      </c>
      <c r="J620" s="306">
        <f t="shared" ca="1" si="275"/>
        <v>780.60585379989482</v>
      </c>
      <c r="K620" s="307">
        <f t="shared" ca="1" si="276"/>
        <v>-4.4259548811546932</v>
      </c>
      <c r="L620" s="304">
        <f t="shared" ca="1" si="261"/>
        <v>780.61840105346789</v>
      </c>
      <c r="M620" s="306">
        <f t="shared" ca="1" si="277"/>
        <v>-1.4689236668187613</v>
      </c>
      <c r="N620" s="304">
        <f t="shared" ca="1" si="278"/>
        <v>-84.163126535596149</v>
      </c>
      <c r="P620" s="310">
        <f t="shared" ca="1" si="279"/>
        <v>23</v>
      </c>
      <c r="Q620" s="304">
        <f t="shared" ca="1" si="280"/>
        <v>0</v>
      </c>
      <c r="R620" s="306">
        <f t="shared" ca="1" si="281"/>
        <v>0</v>
      </c>
      <c r="S620" s="307">
        <f t="shared" ca="1" si="282"/>
        <v>8.0499999999999989</v>
      </c>
      <c r="T620" s="304">
        <f t="shared" ca="1" si="262"/>
        <v>78.970499999999987</v>
      </c>
      <c r="U620" s="311">
        <f t="shared" ca="1" si="263"/>
        <v>0</v>
      </c>
      <c r="V620" s="306">
        <f t="shared" ca="1" si="264"/>
        <v>1.2255422994825933</v>
      </c>
      <c r="W620" s="304">
        <f t="shared" ca="1" si="265"/>
        <v>58.264280550714496</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2.5213785106832489</v>
      </c>
      <c r="AH620" s="304">
        <f t="shared" ca="1" si="289"/>
        <v>-7.2377604127564865</v>
      </c>
    </row>
    <row r="621" spans="1:34" x14ac:dyDescent="0.3">
      <c r="A621" s="347">
        <f t="shared" ca="1" si="267"/>
        <v>1E-4</v>
      </c>
      <c r="B621" s="304">
        <f t="shared" ca="1" si="268"/>
        <v>33.909800000000537</v>
      </c>
      <c r="D621" s="306">
        <f t="shared" ca="1" si="269"/>
        <v>-0.73605913390806099</v>
      </c>
      <c r="E621" s="307">
        <f t="shared" ca="1" si="270"/>
        <v>-2.6097257830287415</v>
      </c>
      <c r="F621" s="304">
        <f t="shared" ca="1" si="271"/>
        <v>2.7115404682973963</v>
      </c>
      <c r="G621" s="306">
        <f t="shared" ca="1" si="272"/>
        <v>12.579099585319829</v>
      </c>
      <c r="H621" s="307">
        <f t="shared" ca="1" si="273"/>
        <v>-123.05219012772407</v>
      </c>
      <c r="I621" s="304">
        <f t="shared" ca="1" si="274"/>
        <v>123.69347291432538</v>
      </c>
      <c r="J621" s="306">
        <f t="shared" ca="1" si="275"/>
        <v>780.60585379989482</v>
      </c>
      <c r="K621" s="307">
        <f t="shared" ca="1" si="276"/>
        <v>-4.4382600871188362</v>
      </c>
      <c r="L621" s="304">
        <f t="shared" ca="1" si="261"/>
        <v>780.61847091858112</v>
      </c>
      <c r="M621" s="306">
        <f t="shared" ca="1" si="277"/>
        <v>-1.4689244733634259</v>
      </c>
      <c r="N621" s="304">
        <f t="shared" ca="1" si="278"/>
        <v>-84.163172747201415</v>
      </c>
      <c r="P621" s="310">
        <f t="shared" ca="1" si="279"/>
        <v>23</v>
      </c>
      <c r="Q621" s="304">
        <f t="shared" ca="1" si="280"/>
        <v>0</v>
      </c>
      <c r="R621" s="306">
        <f t="shared" ca="1" si="281"/>
        <v>0</v>
      </c>
      <c r="S621" s="307">
        <f t="shared" ca="1" si="282"/>
        <v>8.0499999999999989</v>
      </c>
      <c r="T621" s="304">
        <f t="shared" ca="1" si="262"/>
        <v>78.970499999999987</v>
      </c>
      <c r="U621" s="311">
        <f t="shared" ca="1" si="263"/>
        <v>0</v>
      </c>
      <c r="V621" s="306">
        <f t="shared" ca="1" si="264"/>
        <v>1.2255438075386367</v>
      </c>
      <c r="W621" s="304">
        <f t="shared" ca="1" si="265"/>
        <v>58.264589776505332</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2.521340901918907</v>
      </c>
      <c r="AH621" s="304">
        <f t="shared" ca="1" si="289"/>
        <v>-7.2377988261757151</v>
      </c>
    </row>
    <row r="622" spans="1:34" x14ac:dyDescent="0.3">
      <c r="A622" s="347">
        <f t="shared" ca="1" si="267"/>
        <v>1E-4</v>
      </c>
      <c r="B622" s="304">
        <f t="shared" ca="1" si="268"/>
        <v>33.90990000000054</v>
      </c>
      <c r="D622" s="306">
        <f t="shared" ca="1" si="269"/>
        <v>-0.7360572330180416</v>
      </c>
      <c r="E622" s="307">
        <f t="shared" ca="1" si="270"/>
        <v>-2.6096869753758609</v>
      </c>
      <c r="F622" s="304">
        <f t="shared" ca="1" si="271"/>
        <v>2.7115026018288431</v>
      </c>
      <c r="G622" s="306">
        <f t="shared" ca="1" si="272"/>
        <v>12.579025979596528</v>
      </c>
      <c r="H622" s="307">
        <f t="shared" ca="1" si="273"/>
        <v>-123.05245109642161</v>
      </c>
      <c r="I622" s="304">
        <f t="shared" ca="1" si="274"/>
        <v>123.69372504469496</v>
      </c>
      <c r="J622" s="306">
        <f t="shared" ca="1" si="275"/>
        <v>780.60585379989482</v>
      </c>
      <c r="K622" s="307">
        <f t="shared" ca="1" si="276"/>
        <v>-4.4505653191800434</v>
      </c>
      <c r="L622" s="304">
        <f t="shared" ca="1" si="261"/>
        <v>780.61854097780883</v>
      </c>
      <c r="M622" s="306">
        <f t="shared" ca="1" si="277"/>
        <v>-1.4689252799000831</v>
      </c>
      <c r="N622" s="304">
        <f t="shared" ca="1" si="278"/>
        <v>-84.163218958347898</v>
      </c>
      <c r="P622" s="310">
        <f t="shared" ca="1" si="279"/>
        <v>23</v>
      </c>
      <c r="Q622" s="304">
        <f t="shared" ca="1" si="280"/>
        <v>0</v>
      </c>
      <c r="R622" s="306">
        <f t="shared" ca="1" si="281"/>
        <v>0</v>
      </c>
      <c r="S622" s="307">
        <f t="shared" ca="1" si="282"/>
        <v>8.0499999999999989</v>
      </c>
      <c r="T622" s="304">
        <f t="shared" ca="1" si="262"/>
        <v>78.970499999999987</v>
      </c>
      <c r="U622" s="311">
        <f t="shared" ca="1" si="263"/>
        <v>0</v>
      </c>
      <c r="V622" s="306">
        <f t="shared" ca="1" si="264"/>
        <v>1.2255453155997347</v>
      </c>
      <c r="W622" s="304">
        <f t="shared" ca="1" si="265"/>
        <v>58.264899000062172</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2.5213032934177386</v>
      </c>
      <c r="AH622" s="304">
        <f t="shared" ca="1" si="289"/>
        <v>-7.2378372393174333</v>
      </c>
    </row>
    <row r="623" spans="1:34" x14ac:dyDescent="0.3">
      <c r="A623" s="347">
        <f t="shared" ca="1" si="267"/>
        <v>1E-4</v>
      </c>
      <c r="B623" s="304">
        <f t="shared" ca="1" si="268"/>
        <v>33.910000000000544</v>
      </c>
      <c r="D623" s="306">
        <f t="shared" ca="1" si="269"/>
        <v>-0.73605533209533491</v>
      </c>
      <c r="E623" s="307">
        <f t="shared" ca="1" si="270"/>
        <v>-2.6096481680033312</v>
      </c>
      <c r="F623" s="304">
        <f t="shared" ca="1" si="271"/>
        <v>2.7114647356491872</v>
      </c>
      <c r="G623" s="306">
        <f t="shared" ca="1" si="272"/>
        <v>12.578952374063318</v>
      </c>
      <c r="H623" s="307">
        <f t="shared" ca="1" si="273"/>
        <v>-123.05271206123841</v>
      </c>
      <c r="I623" s="304">
        <f t="shared" ca="1" si="274"/>
        <v>123.6939771713037</v>
      </c>
      <c r="J623" s="306">
        <f t="shared" ca="1" si="275"/>
        <v>780.60585379989482</v>
      </c>
      <c r="K623" s="307">
        <f t="shared" ca="1" si="276"/>
        <v>-4.4628705773379265</v>
      </c>
      <c r="L623" s="304">
        <f t="shared" ca="1" si="261"/>
        <v>780.61861123115227</v>
      </c>
      <c r="M623" s="306">
        <f t="shared" ca="1" si="277"/>
        <v>-1.468926086428733</v>
      </c>
      <c r="N623" s="304">
        <f t="shared" ca="1" si="278"/>
        <v>-84.163265169035597</v>
      </c>
      <c r="P623" s="310">
        <f t="shared" ca="1" si="279"/>
        <v>23</v>
      </c>
      <c r="Q623" s="304">
        <f t="shared" ca="1" si="280"/>
        <v>0</v>
      </c>
      <c r="R623" s="306">
        <f t="shared" ca="1" si="281"/>
        <v>0</v>
      </c>
      <c r="S623" s="307">
        <f t="shared" ca="1" si="282"/>
        <v>8.0499999999999989</v>
      </c>
      <c r="T623" s="304">
        <f t="shared" ca="1" si="262"/>
        <v>78.970499999999987</v>
      </c>
      <c r="U623" s="311">
        <f t="shared" ca="1" si="263"/>
        <v>0</v>
      </c>
      <c r="V623" s="306">
        <f t="shared" ca="1" si="264"/>
        <v>1.2255468236658866</v>
      </c>
      <c r="W623" s="304">
        <f t="shared" ca="1" si="265"/>
        <v>58.265208221384995</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2.521265685179749</v>
      </c>
      <c r="AH623" s="304">
        <f t="shared" ca="1" si="289"/>
        <v>-7.2378756521816374</v>
      </c>
    </row>
    <row r="624" spans="1:34" x14ac:dyDescent="0.3">
      <c r="A624" s="347">
        <f t="shared" ca="1" si="267"/>
        <v>1E-4</v>
      </c>
      <c r="B624" s="304">
        <f t="shared" ca="1" si="268"/>
        <v>33.910100000000547</v>
      </c>
      <c r="D624" s="306">
        <f t="shared" ca="1" si="269"/>
        <v>-0.73605343113994215</v>
      </c>
      <c r="E624" s="307">
        <f t="shared" ca="1" si="270"/>
        <v>-2.6096093609111577</v>
      </c>
      <c r="F624" s="304">
        <f t="shared" ca="1" si="271"/>
        <v>2.7114268697584345</v>
      </c>
      <c r="G624" s="306">
        <f t="shared" ca="1" si="272"/>
        <v>12.578878768720203</v>
      </c>
      <c r="H624" s="307">
        <f t="shared" ca="1" si="273"/>
        <v>-123.0529730221745</v>
      </c>
      <c r="I624" s="304">
        <f t="shared" ca="1" si="274"/>
        <v>123.69422929415165</v>
      </c>
      <c r="J624" s="306">
        <f t="shared" ca="1" si="275"/>
        <v>780.60585379989482</v>
      </c>
      <c r="K624" s="307">
        <f t="shared" ca="1" si="276"/>
        <v>-4.4751758615920973</v>
      </c>
      <c r="L624" s="304">
        <f t="shared" ca="1" si="261"/>
        <v>780.61868167861246</v>
      </c>
      <c r="M624" s="306">
        <f t="shared" ca="1" si="277"/>
        <v>-1.4689268929493755</v>
      </c>
      <c r="N624" s="304">
        <f t="shared" ca="1" si="278"/>
        <v>-84.163311379264499</v>
      </c>
      <c r="P624" s="310">
        <f t="shared" ca="1" si="279"/>
        <v>23</v>
      </c>
      <c r="Q624" s="304">
        <f t="shared" ca="1" si="280"/>
        <v>0</v>
      </c>
      <c r="R624" s="306">
        <f t="shared" ca="1" si="281"/>
        <v>0</v>
      </c>
      <c r="S624" s="307">
        <f t="shared" ca="1" si="282"/>
        <v>8.0499999999999989</v>
      </c>
      <c r="T624" s="304">
        <f t="shared" ca="1" si="262"/>
        <v>78.970499999999987</v>
      </c>
      <c r="U624" s="311">
        <f t="shared" ca="1" si="263"/>
        <v>0</v>
      </c>
      <c r="V624" s="306">
        <f t="shared" ca="1" si="264"/>
        <v>1.225548331737093</v>
      </c>
      <c r="W624" s="304">
        <f t="shared" ca="1" si="265"/>
        <v>58.265517440473836</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2.5212280772049409</v>
      </c>
      <c r="AH624" s="304">
        <f t="shared" ca="1" si="289"/>
        <v>-7.2379140647683231</v>
      </c>
    </row>
    <row r="625" spans="1:34" x14ac:dyDescent="0.3">
      <c r="A625" s="347">
        <f t="shared" ca="1" si="267"/>
        <v>1E-4</v>
      </c>
      <c r="B625" s="304">
        <f t="shared" ca="1" si="268"/>
        <v>33.91020000000055</v>
      </c>
      <c r="D625" s="306">
        <f t="shared" ca="1" si="269"/>
        <v>-0.73605153015186531</v>
      </c>
      <c r="E625" s="307">
        <f t="shared" ca="1" si="270"/>
        <v>-2.609570554099335</v>
      </c>
      <c r="F625" s="304">
        <f t="shared" ca="1" si="271"/>
        <v>2.7113890041565805</v>
      </c>
      <c r="G625" s="306">
        <f t="shared" ca="1" si="272"/>
        <v>12.578805163567189</v>
      </c>
      <c r="H625" s="307">
        <f t="shared" ca="1" si="273"/>
        <v>-123.0532339792299</v>
      </c>
      <c r="I625" s="304">
        <f t="shared" ca="1" si="274"/>
        <v>123.69448141323882</v>
      </c>
      <c r="J625" s="306">
        <f t="shared" ca="1" si="275"/>
        <v>780.60585379989482</v>
      </c>
      <c r="K625" s="307">
        <f t="shared" ca="1" si="276"/>
        <v>-4.4874811719421679</v>
      </c>
      <c r="L625" s="304">
        <f t="shared" ca="1" si="261"/>
        <v>780.61875232019077</v>
      </c>
      <c r="M625" s="306">
        <f t="shared" ca="1" si="277"/>
        <v>-1.4689276994620111</v>
      </c>
      <c r="N625" s="304">
        <f t="shared" ca="1" si="278"/>
        <v>-84.163357589034646</v>
      </c>
      <c r="P625" s="310">
        <f t="shared" ca="1" si="279"/>
        <v>23</v>
      </c>
      <c r="Q625" s="304">
        <f t="shared" ca="1" si="280"/>
        <v>0</v>
      </c>
      <c r="R625" s="306">
        <f t="shared" ca="1" si="281"/>
        <v>0</v>
      </c>
      <c r="S625" s="307">
        <f t="shared" ca="1" si="282"/>
        <v>8.0499999999999989</v>
      </c>
      <c r="T625" s="304">
        <f t="shared" ca="1" si="262"/>
        <v>78.970499999999987</v>
      </c>
      <c r="U625" s="311">
        <f t="shared" ca="1" si="263"/>
        <v>0</v>
      </c>
      <c r="V625" s="306">
        <f t="shared" ca="1" si="264"/>
        <v>1.2255498398133535</v>
      </c>
      <c r="W625" s="304">
        <f t="shared" ca="1" si="265"/>
        <v>58.265826657328638</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2.5211904694933081</v>
      </c>
      <c r="AH625" s="304">
        <f t="shared" ca="1" si="289"/>
        <v>-7.2379524770774966</v>
      </c>
    </row>
    <row r="626" spans="1:34" x14ac:dyDescent="0.3">
      <c r="A626" s="347">
        <f t="shared" ca="1" si="267"/>
        <v>1E-4</v>
      </c>
      <c r="B626" s="304">
        <f t="shared" ca="1" si="268"/>
        <v>33.910300000000554</v>
      </c>
      <c r="D626" s="306">
        <f t="shared" ca="1" si="269"/>
        <v>-0.73604962913110228</v>
      </c>
      <c r="E626" s="307">
        <f t="shared" ca="1" si="270"/>
        <v>-2.6095317475678703</v>
      </c>
      <c r="F626" s="304">
        <f t="shared" ca="1" si="271"/>
        <v>2.7113511388436313</v>
      </c>
      <c r="G626" s="306">
        <f t="shared" ca="1" si="272"/>
        <v>12.578731558604275</v>
      </c>
      <c r="H626" s="307">
        <f t="shared" ca="1" si="273"/>
        <v>-123.05349493240466</v>
      </c>
      <c r="I626" s="304">
        <f t="shared" ca="1" si="274"/>
        <v>123.69473352856527</v>
      </c>
      <c r="J626" s="306">
        <f t="shared" ca="1" si="275"/>
        <v>780.60585379989482</v>
      </c>
      <c r="K626" s="307">
        <f t="shared" ca="1" si="276"/>
        <v>-4.49978650838775</v>
      </c>
      <c r="L626" s="304">
        <f t="shared" ca="1" si="261"/>
        <v>780.61882315588821</v>
      </c>
      <c r="M626" s="306">
        <f t="shared" ca="1" si="277"/>
        <v>-1.4689285059666397</v>
      </c>
      <c r="N626" s="304">
        <f t="shared" ca="1" si="278"/>
        <v>-84.163403798346025</v>
      </c>
      <c r="P626" s="310">
        <f t="shared" ca="1" si="279"/>
        <v>23</v>
      </c>
      <c r="Q626" s="304">
        <f t="shared" ca="1" si="280"/>
        <v>0</v>
      </c>
      <c r="R626" s="306">
        <f t="shared" ca="1" si="281"/>
        <v>0</v>
      </c>
      <c r="S626" s="307">
        <f t="shared" ca="1" si="282"/>
        <v>8.0499999999999989</v>
      </c>
      <c r="T626" s="304">
        <f t="shared" ca="1" si="262"/>
        <v>78.970499999999987</v>
      </c>
      <c r="U626" s="311">
        <f t="shared" ca="1" si="263"/>
        <v>0</v>
      </c>
      <c r="V626" s="306">
        <f t="shared" ca="1" si="264"/>
        <v>1.2255513478946682</v>
      </c>
      <c r="W626" s="304">
        <f t="shared" ca="1" si="265"/>
        <v>58.266135871949444</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2.5211528620448593</v>
      </c>
      <c r="AH626" s="304">
        <f t="shared" ca="1" si="289"/>
        <v>-7.2379908891091489</v>
      </c>
    </row>
    <row r="627" spans="1:34" x14ac:dyDescent="0.3">
      <c r="A627" s="347">
        <f t="shared" ca="1" si="267"/>
        <v>1E-4</v>
      </c>
      <c r="B627" s="304">
        <f t="shared" ca="1" si="268"/>
        <v>33.910400000000557</v>
      </c>
      <c r="D627" s="306">
        <f t="shared" ca="1" si="269"/>
        <v>-0.73604772807765495</v>
      </c>
      <c r="E627" s="307">
        <f t="shared" ca="1" si="270"/>
        <v>-2.6094929413167582</v>
      </c>
      <c r="F627" s="304">
        <f t="shared" ca="1" si="271"/>
        <v>2.7113132738195831</v>
      </c>
      <c r="G627" s="306">
        <f t="shared" ca="1" si="272"/>
        <v>12.578657953831467</v>
      </c>
      <c r="H627" s="307">
        <f t="shared" ca="1" si="273"/>
        <v>-123.05375588169879</v>
      </c>
      <c r="I627" s="304">
        <f t="shared" ca="1" si="274"/>
        <v>123.69498564013098</v>
      </c>
      <c r="J627" s="306">
        <f t="shared" ca="1" si="275"/>
        <v>780.60585379989482</v>
      </c>
      <c r="K627" s="307">
        <f t="shared" ca="1" si="276"/>
        <v>-4.5120918709284554</v>
      </c>
      <c r="L627" s="304">
        <f t="shared" ca="1" si="261"/>
        <v>780.61889418570593</v>
      </c>
      <c r="M627" s="306">
        <f t="shared" ca="1" si="277"/>
        <v>-1.4689293124632614</v>
      </c>
      <c r="N627" s="304">
        <f t="shared" ca="1" si="278"/>
        <v>-84.163450007198634</v>
      </c>
      <c r="P627" s="310">
        <f t="shared" ca="1" si="279"/>
        <v>23</v>
      </c>
      <c r="Q627" s="304">
        <f t="shared" ca="1" si="280"/>
        <v>0</v>
      </c>
      <c r="R627" s="306">
        <f t="shared" ca="1" si="281"/>
        <v>0</v>
      </c>
      <c r="S627" s="307">
        <f t="shared" ca="1" si="282"/>
        <v>8.0499999999999989</v>
      </c>
      <c r="T627" s="304">
        <f t="shared" ca="1" si="262"/>
        <v>78.970499999999987</v>
      </c>
      <c r="U627" s="311">
        <f t="shared" ca="1" si="263"/>
        <v>0</v>
      </c>
      <c r="V627" s="306">
        <f t="shared" ca="1" si="264"/>
        <v>1.2255528559810378</v>
      </c>
      <c r="W627" s="304">
        <f t="shared" ca="1" si="265"/>
        <v>58.266445084336254</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2.5211152548595903</v>
      </c>
      <c r="AH627" s="304">
        <f t="shared" ca="1" si="289"/>
        <v>-7.2380293008632863</v>
      </c>
    </row>
    <row r="628" spans="1:34" x14ac:dyDescent="0.3">
      <c r="A628" s="347">
        <f t="shared" ca="1" si="267"/>
        <v>1E-4</v>
      </c>
      <c r="B628" s="304">
        <f t="shared" ca="1" si="268"/>
        <v>33.91050000000056</v>
      </c>
      <c r="D628" s="306">
        <f t="shared" ca="1" si="269"/>
        <v>-0.73604582699152499</v>
      </c>
      <c r="E628" s="307">
        <f t="shared" ca="1" si="270"/>
        <v>-2.6094541353459997</v>
      </c>
      <c r="F628" s="304">
        <f t="shared" ca="1" si="271"/>
        <v>2.7112754090844362</v>
      </c>
      <c r="G628" s="306">
        <f t="shared" ca="1" si="272"/>
        <v>12.578584349248768</v>
      </c>
      <c r="H628" s="307">
        <f t="shared" ca="1" si="273"/>
        <v>-123.05401682711232</v>
      </c>
      <c r="I628" s="304">
        <f t="shared" ca="1" si="274"/>
        <v>123.69523774793599</v>
      </c>
      <c r="J628" s="306">
        <f t="shared" ca="1" si="275"/>
        <v>780.60585379989482</v>
      </c>
      <c r="K628" s="307">
        <f t="shared" ca="1" si="276"/>
        <v>-4.5243972595638962</v>
      </c>
      <c r="L628" s="304">
        <f t="shared" ca="1" si="261"/>
        <v>780.6189654096454</v>
      </c>
      <c r="M628" s="306">
        <f t="shared" ca="1" si="277"/>
        <v>-1.4689301189518762</v>
      </c>
      <c r="N628" s="304">
        <f t="shared" ca="1" si="278"/>
        <v>-84.163496215592488</v>
      </c>
      <c r="P628" s="310">
        <f t="shared" ca="1" si="279"/>
        <v>23</v>
      </c>
      <c r="Q628" s="304">
        <f t="shared" ca="1" si="280"/>
        <v>0</v>
      </c>
      <c r="R628" s="306">
        <f t="shared" ca="1" si="281"/>
        <v>0</v>
      </c>
      <c r="S628" s="307">
        <f t="shared" ca="1" si="282"/>
        <v>8.0499999999999989</v>
      </c>
      <c r="T628" s="304">
        <f t="shared" ca="1" si="262"/>
        <v>78.970499999999987</v>
      </c>
      <c r="U628" s="311">
        <f t="shared" ca="1" si="263"/>
        <v>0</v>
      </c>
      <c r="V628" s="306">
        <f t="shared" ca="1" si="264"/>
        <v>1.2255543640724611</v>
      </c>
      <c r="W628" s="304">
        <f t="shared" ca="1" si="265"/>
        <v>58.266754294489004</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2.5210776479375019</v>
      </c>
      <c r="AH628" s="304">
        <f t="shared" ca="1" si="289"/>
        <v>-7.238067712339908</v>
      </c>
    </row>
    <row r="629" spans="1:34" x14ac:dyDescent="0.3">
      <c r="A629" s="347">
        <f t="shared" ca="1" si="267"/>
        <v>1E-4</v>
      </c>
      <c r="B629" s="304">
        <f t="shared" ca="1" si="268"/>
        <v>33.910600000000564</v>
      </c>
      <c r="D629" s="306">
        <f t="shared" ca="1" si="269"/>
        <v>-0.73604392587271328</v>
      </c>
      <c r="E629" s="307">
        <f t="shared" ca="1" si="270"/>
        <v>-2.6094153296556009</v>
      </c>
      <c r="F629" s="304">
        <f t="shared" ca="1" si="271"/>
        <v>2.7112375446381978</v>
      </c>
      <c r="G629" s="306">
        <f t="shared" ca="1" si="272"/>
        <v>12.57851074485618</v>
      </c>
      <c r="H629" s="307">
        <f t="shared" ca="1" si="273"/>
        <v>-123.05427776864529</v>
      </c>
      <c r="I629" s="304">
        <f t="shared" ca="1" si="274"/>
        <v>123.69548985198035</v>
      </c>
      <c r="J629" s="306">
        <f t="shared" ca="1" si="275"/>
        <v>780.60585379989482</v>
      </c>
      <c r="K629" s="307">
        <f t="shared" ca="1" si="276"/>
        <v>-4.536702674293684</v>
      </c>
      <c r="L629" s="304">
        <f t="shared" ca="1" si="261"/>
        <v>780.61903682770742</v>
      </c>
      <c r="M629" s="306">
        <f t="shared" ca="1" si="277"/>
        <v>-1.4689309254324845</v>
      </c>
      <c r="N629" s="304">
        <f t="shared" ca="1" si="278"/>
        <v>-84.163542423527602</v>
      </c>
      <c r="P629" s="310">
        <f t="shared" ca="1" si="279"/>
        <v>23</v>
      </c>
      <c r="Q629" s="304">
        <f t="shared" ca="1" si="280"/>
        <v>0</v>
      </c>
      <c r="R629" s="306">
        <f t="shared" ca="1" si="281"/>
        <v>0</v>
      </c>
      <c r="S629" s="307">
        <f t="shared" ca="1" si="282"/>
        <v>8.0499999999999989</v>
      </c>
      <c r="T629" s="304">
        <f t="shared" ca="1" si="262"/>
        <v>78.970499999999987</v>
      </c>
      <c r="U629" s="311">
        <f t="shared" ca="1" si="263"/>
        <v>0</v>
      </c>
      <c r="V629" s="306">
        <f t="shared" ca="1" si="264"/>
        <v>1.2255558721689388</v>
      </c>
      <c r="W629" s="304">
        <f t="shared" ca="1" si="265"/>
        <v>58.26706350240773</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2.521040041278602</v>
      </c>
      <c r="AH629" s="304">
        <f t="shared" ca="1" si="289"/>
        <v>-7.2381061235390076</v>
      </c>
    </row>
    <row r="630" spans="1:34" x14ac:dyDescent="0.3">
      <c r="A630" s="347">
        <f t="shared" ca="1" si="267"/>
        <v>1E-4</v>
      </c>
      <c r="B630" s="304">
        <f t="shared" ca="1" si="268"/>
        <v>33.910700000000567</v>
      </c>
      <c r="D630" s="306">
        <f t="shared" ca="1" si="269"/>
        <v>-0.73604202472121871</v>
      </c>
      <c r="E630" s="307">
        <f t="shared" ca="1" si="270"/>
        <v>-2.6093765242455582</v>
      </c>
      <c r="F630" s="304">
        <f t="shared" ca="1" si="271"/>
        <v>2.7111996804808642</v>
      </c>
      <c r="G630" s="306">
        <f t="shared" ca="1" si="272"/>
        <v>12.578437140653708</v>
      </c>
      <c r="H630" s="307">
        <f t="shared" ca="1" si="273"/>
        <v>-123.05453870629772</v>
      </c>
      <c r="I630" s="304">
        <f t="shared" ca="1" si="274"/>
        <v>123.69574195226407</v>
      </c>
      <c r="J630" s="306">
        <f t="shared" ca="1" si="275"/>
        <v>780.60585379989482</v>
      </c>
      <c r="K630" s="307">
        <f t="shared" ca="1" si="276"/>
        <v>-4.5490081151174309</v>
      </c>
      <c r="L630" s="304">
        <f t="shared" ca="1" si="261"/>
        <v>780.61910843989347</v>
      </c>
      <c r="M630" s="306">
        <f t="shared" ca="1" si="277"/>
        <v>-1.4689317319050863</v>
      </c>
      <c r="N630" s="304">
        <f t="shared" ca="1" si="278"/>
        <v>-84.163588631003975</v>
      </c>
      <c r="P630" s="310">
        <f t="shared" ca="1" si="279"/>
        <v>23</v>
      </c>
      <c r="Q630" s="304">
        <f t="shared" ca="1" si="280"/>
        <v>0</v>
      </c>
      <c r="R630" s="306">
        <f t="shared" ca="1" si="281"/>
        <v>0</v>
      </c>
      <c r="S630" s="307">
        <f t="shared" ca="1" si="282"/>
        <v>8.0499999999999989</v>
      </c>
      <c r="T630" s="304">
        <f t="shared" ca="1" si="262"/>
        <v>78.970499999999987</v>
      </c>
      <c r="U630" s="311">
        <f t="shared" ca="1" si="263"/>
        <v>0</v>
      </c>
      <c r="V630" s="306">
        <f t="shared" ca="1" si="264"/>
        <v>1.2255573802704707</v>
      </c>
      <c r="W630" s="304">
        <f t="shared" ca="1" si="265"/>
        <v>58.26737270809241</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2.5210024348828837</v>
      </c>
      <c r="AH630" s="304">
        <f t="shared" ca="1" si="289"/>
        <v>-7.2381445344605888</v>
      </c>
    </row>
    <row r="631" spans="1:34" x14ac:dyDescent="0.3">
      <c r="A631" s="347">
        <f t="shared" ca="1" si="267"/>
        <v>1E-4</v>
      </c>
      <c r="B631" s="304">
        <f t="shared" ca="1" si="268"/>
        <v>33.91080000000057</v>
      </c>
      <c r="D631" s="306">
        <f t="shared" ca="1" si="269"/>
        <v>-0.73604012353704251</v>
      </c>
      <c r="E631" s="307">
        <f t="shared" ca="1" si="270"/>
        <v>-2.6093377191158753</v>
      </c>
      <c r="F631" s="304">
        <f t="shared" ca="1" si="271"/>
        <v>2.7111618166124396</v>
      </c>
      <c r="G631" s="306">
        <f t="shared" ca="1" si="272"/>
        <v>12.578363536641355</v>
      </c>
      <c r="H631" s="307">
        <f t="shared" ca="1" si="273"/>
        <v>-123.05479964006963</v>
      </c>
      <c r="I631" s="304">
        <f t="shared" ca="1" si="274"/>
        <v>123.69599404878717</v>
      </c>
      <c r="J631" s="306">
        <f t="shared" ca="1" si="275"/>
        <v>780.60585379989482</v>
      </c>
      <c r="K631" s="307">
        <f t="shared" ca="1" si="276"/>
        <v>-4.5613135820347495</v>
      </c>
      <c r="L631" s="304">
        <f t="shared" ca="1" si="261"/>
        <v>780.61918024620456</v>
      </c>
      <c r="M631" s="306">
        <f t="shared" ca="1" si="277"/>
        <v>-1.4689325383696819</v>
      </c>
      <c r="N631" s="304">
        <f t="shared" ca="1" si="278"/>
        <v>-84.163634838021636</v>
      </c>
      <c r="P631" s="310">
        <f t="shared" ca="1" si="279"/>
        <v>23</v>
      </c>
      <c r="Q631" s="304">
        <f t="shared" ca="1" si="280"/>
        <v>0</v>
      </c>
      <c r="R631" s="306">
        <f t="shared" ca="1" si="281"/>
        <v>0</v>
      </c>
      <c r="S631" s="307">
        <f t="shared" ca="1" si="282"/>
        <v>8.0499999999999989</v>
      </c>
      <c r="T631" s="304">
        <f t="shared" ca="1" si="262"/>
        <v>78.970499999999987</v>
      </c>
      <c r="U631" s="311">
        <f t="shared" ca="1" si="263"/>
        <v>0</v>
      </c>
      <c r="V631" s="306">
        <f t="shared" ca="1" si="264"/>
        <v>1.2255588883770565</v>
      </c>
      <c r="W631" s="304">
        <f t="shared" ca="1" si="265"/>
        <v>58.267681911543036</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2.5209648287503539</v>
      </c>
      <c r="AH631" s="304">
        <f t="shared" ca="1" si="289"/>
        <v>-7.238182945104648</v>
      </c>
    </row>
    <row r="632" spans="1:34" x14ac:dyDescent="0.3">
      <c r="A632" s="347">
        <f t="shared" ca="1" si="267"/>
        <v>1E-4</v>
      </c>
      <c r="B632" s="304">
        <f t="shared" ca="1" si="268"/>
        <v>33.910900000000574</v>
      </c>
      <c r="D632" s="306">
        <f t="shared" ca="1" si="269"/>
        <v>-0.73603822232018445</v>
      </c>
      <c r="E632" s="307">
        <f t="shared" ca="1" si="270"/>
        <v>-2.6092989142665521</v>
      </c>
      <c r="F632" s="304">
        <f t="shared" ca="1" si="271"/>
        <v>2.7111239530329234</v>
      </c>
      <c r="G632" s="306">
        <f t="shared" ca="1" si="272"/>
        <v>12.578289932819123</v>
      </c>
      <c r="H632" s="307">
        <f t="shared" ca="1" si="273"/>
        <v>-123.05506056996106</v>
      </c>
      <c r="I632" s="304">
        <f t="shared" ca="1" si="274"/>
        <v>123.69624614154968</v>
      </c>
      <c r="J632" s="306">
        <f t="shared" ca="1" si="275"/>
        <v>780.60585379989482</v>
      </c>
      <c r="K632" s="307">
        <f t="shared" ca="1" si="276"/>
        <v>-4.5736190750452508</v>
      </c>
      <c r="L632" s="304">
        <f t="shared" ca="1" si="261"/>
        <v>780.61925224664196</v>
      </c>
      <c r="M632" s="306">
        <f t="shared" ca="1" si="277"/>
        <v>-1.4689333448262709</v>
      </c>
      <c r="N632" s="304">
        <f t="shared" ca="1" si="278"/>
        <v>-84.163681044580542</v>
      </c>
      <c r="P632" s="310">
        <f t="shared" ca="1" si="279"/>
        <v>23</v>
      </c>
      <c r="Q632" s="304">
        <f t="shared" ca="1" si="280"/>
        <v>0</v>
      </c>
      <c r="R632" s="306">
        <f t="shared" ca="1" si="281"/>
        <v>0</v>
      </c>
      <c r="S632" s="307">
        <f t="shared" ca="1" si="282"/>
        <v>8.0499999999999989</v>
      </c>
      <c r="T632" s="304">
        <f t="shared" ca="1" si="262"/>
        <v>78.970499999999987</v>
      </c>
      <c r="U632" s="311">
        <f t="shared" ca="1" si="263"/>
        <v>0</v>
      </c>
      <c r="V632" s="306">
        <f t="shared" ca="1" si="264"/>
        <v>1.225560396488697</v>
      </c>
      <c r="W632" s="304">
        <f t="shared" ca="1" si="265"/>
        <v>58.267991112759638</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2.5209272228810127</v>
      </c>
      <c r="AH632" s="304">
        <f t="shared" ca="1" si="289"/>
        <v>-7.2382213554711852</v>
      </c>
    </row>
    <row r="633" spans="1:34" x14ac:dyDescent="0.3">
      <c r="A633" s="347">
        <f t="shared" ca="1" si="267"/>
        <v>1E-4</v>
      </c>
      <c r="B633" s="304">
        <f t="shared" ca="1" si="268"/>
        <v>33.911000000000577</v>
      </c>
      <c r="D633" s="306">
        <f t="shared" ca="1" si="269"/>
        <v>-0.73603632107064842</v>
      </c>
      <c r="E633" s="307">
        <f t="shared" ca="1" si="270"/>
        <v>-2.6092601096975843</v>
      </c>
      <c r="F633" s="304">
        <f t="shared" ca="1" si="271"/>
        <v>2.711086089742313</v>
      </c>
      <c r="G633" s="306">
        <f t="shared" ca="1" si="272"/>
        <v>12.578216329187017</v>
      </c>
      <c r="H633" s="307">
        <f t="shared" ca="1" si="273"/>
        <v>-123.05532149597202</v>
      </c>
      <c r="I633" s="304">
        <f t="shared" ca="1" si="274"/>
        <v>123.69649823055163</v>
      </c>
      <c r="J633" s="306">
        <f t="shared" ca="1" si="275"/>
        <v>780.60585379989482</v>
      </c>
      <c r="K633" s="307">
        <f t="shared" ca="1" si="276"/>
        <v>-4.5859245941485476</v>
      </c>
      <c r="L633" s="304">
        <f t="shared" ca="1" si="261"/>
        <v>780.61932444120669</v>
      </c>
      <c r="M633" s="306">
        <f t="shared" ca="1" si="277"/>
        <v>-1.4689341512748539</v>
      </c>
      <c r="N633" s="304">
        <f t="shared" ca="1" si="278"/>
        <v>-84.163727250680751</v>
      </c>
      <c r="P633" s="310">
        <f t="shared" ca="1" si="279"/>
        <v>23</v>
      </c>
      <c r="Q633" s="304">
        <f t="shared" ca="1" si="280"/>
        <v>0</v>
      </c>
      <c r="R633" s="306">
        <f t="shared" ca="1" si="281"/>
        <v>0</v>
      </c>
      <c r="S633" s="307">
        <f t="shared" ca="1" si="282"/>
        <v>8.0499999999999989</v>
      </c>
      <c r="T633" s="304">
        <f t="shared" ca="1" si="262"/>
        <v>78.970499999999987</v>
      </c>
      <c r="U633" s="311">
        <f t="shared" ca="1" si="263"/>
        <v>0</v>
      </c>
      <c r="V633" s="306">
        <f t="shared" ca="1" si="264"/>
        <v>1.2255619046053909</v>
      </c>
      <c r="W633" s="304">
        <f t="shared" ca="1" si="265"/>
        <v>58.268300311742138</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2.5208896172748521</v>
      </c>
      <c r="AH633" s="304">
        <f t="shared" ca="1" si="289"/>
        <v>-7.2382597655602048</v>
      </c>
    </row>
    <row r="634" spans="1:34" x14ac:dyDescent="0.3">
      <c r="A634" s="347">
        <f t="shared" ca="1" si="267"/>
        <v>1E-4</v>
      </c>
      <c r="B634" s="304">
        <f t="shared" ca="1" si="268"/>
        <v>33.91110000000058</v>
      </c>
      <c r="D634" s="306">
        <f t="shared" ca="1" si="269"/>
        <v>-0.73603441978843154</v>
      </c>
      <c r="E634" s="307">
        <f t="shared" ca="1" si="270"/>
        <v>-2.6092213054089823</v>
      </c>
      <c r="F634" s="304">
        <f t="shared" ca="1" si="271"/>
        <v>2.7110482267406177</v>
      </c>
      <c r="G634" s="306">
        <f t="shared" ca="1" si="272"/>
        <v>12.578142725745037</v>
      </c>
      <c r="H634" s="307">
        <f t="shared" ca="1" si="273"/>
        <v>-123.05558241810256</v>
      </c>
      <c r="I634" s="304">
        <f t="shared" ca="1" si="274"/>
        <v>123.69675031579304</v>
      </c>
      <c r="J634" s="306">
        <f t="shared" ca="1" si="275"/>
        <v>780.60585379989482</v>
      </c>
      <c r="K634" s="307">
        <f t="shared" ca="1" si="276"/>
        <v>-4.5982301393442517</v>
      </c>
      <c r="L634" s="304">
        <f t="shared" ca="1" si="261"/>
        <v>780.6193968299001</v>
      </c>
      <c r="M634" s="306">
        <f t="shared" ca="1" si="277"/>
        <v>-1.4689349577154309</v>
      </c>
      <c r="N634" s="304">
        <f t="shared" ca="1" si="278"/>
        <v>-84.163773456322232</v>
      </c>
      <c r="P634" s="310">
        <f t="shared" ca="1" si="279"/>
        <v>23</v>
      </c>
      <c r="Q634" s="304">
        <f t="shared" ca="1" si="280"/>
        <v>0</v>
      </c>
      <c r="R634" s="306">
        <f t="shared" ca="1" si="281"/>
        <v>0</v>
      </c>
      <c r="S634" s="307">
        <f t="shared" ca="1" si="282"/>
        <v>8.0499999999999989</v>
      </c>
      <c r="T634" s="304">
        <f t="shared" ca="1" si="262"/>
        <v>78.970499999999987</v>
      </c>
      <c r="U634" s="311">
        <f t="shared" ca="1" si="263"/>
        <v>0</v>
      </c>
      <c r="V634" s="306">
        <f t="shared" ca="1" si="264"/>
        <v>1.2255634127271389</v>
      </c>
      <c r="W634" s="304">
        <f t="shared" ca="1" si="265"/>
        <v>58.268609508490563</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2.5208520119318907</v>
      </c>
      <c r="AH634" s="304">
        <f t="shared" ca="1" si="289"/>
        <v>-7.2382981753716953</v>
      </c>
    </row>
    <row r="635" spans="1:34" x14ac:dyDescent="0.3">
      <c r="A635" s="347">
        <f t="shared" ca="1" si="267"/>
        <v>1E-4</v>
      </c>
      <c r="B635" s="304">
        <f t="shared" ca="1" si="268"/>
        <v>33.911200000000584</v>
      </c>
      <c r="D635" s="306">
        <f t="shared" ca="1" si="269"/>
        <v>-0.73603251847353579</v>
      </c>
      <c r="E635" s="307">
        <f t="shared" ca="1" si="270"/>
        <v>-2.6091825014007437</v>
      </c>
      <c r="F635" s="304">
        <f t="shared" ca="1" si="271"/>
        <v>2.7110103640278358</v>
      </c>
      <c r="G635" s="306">
        <f t="shared" ca="1" si="272"/>
        <v>12.57806912249319</v>
      </c>
      <c r="H635" s="307">
        <f t="shared" ca="1" si="273"/>
        <v>-123.05584333635269</v>
      </c>
      <c r="I635" s="304">
        <f t="shared" ca="1" si="274"/>
        <v>123.69700239727393</v>
      </c>
      <c r="J635" s="306">
        <f t="shared" ca="1" si="275"/>
        <v>780.60585379989482</v>
      </c>
      <c r="K635" s="307">
        <f t="shared" ca="1" si="276"/>
        <v>-4.6105357106319742</v>
      </c>
      <c r="L635" s="304">
        <f t="shared" ca="1" si="261"/>
        <v>780.61946941272333</v>
      </c>
      <c r="M635" s="306">
        <f t="shared" ca="1" si="277"/>
        <v>-1.4689357641480019</v>
      </c>
      <c r="N635" s="304">
        <f t="shared" ca="1" si="278"/>
        <v>-84.163819661505016</v>
      </c>
      <c r="P635" s="310">
        <f t="shared" ca="1" si="279"/>
        <v>23</v>
      </c>
      <c r="Q635" s="304">
        <f t="shared" ca="1" si="280"/>
        <v>0</v>
      </c>
      <c r="R635" s="306">
        <f t="shared" ca="1" si="281"/>
        <v>0</v>
      </c>
      <c r="S635" s="307">
        <f t="shared" ca="1" si="282"/>
        <v>8.0499999999999989</v>
      </c>
      <c r="T635" s="304">
        <f t="shared" ca="1" si="262"/>
        <v>78.970499999999987</v>
      </c>
      <c r="U635" s="311">
        <f t="shared" ca="1" si="263"/>
        <v>0</v>
      </c>
      <c r="V635" s="306">
        <f t="shared" ca="1" si="264"/>
        <v>1.225564920853941</v>
      </c>
      <c r="W635" s="304">
        <f t="shared" ca="1" si="265"/>
        <v>58.268918703004914</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2.5208144068521188</v>
      </c>
      <c r="AH635" s="304">
        <f t="shared" ca="1" si="289"/>
        <v>-7.2383365849056611</v>
      </c>
    </row>
    <row r="636" spans="1:34" x14ac:dyDescent="0.3">
      <c r="A636" s="347">
        <f t="shared" ca="1" si="267"/>
        <v>1E-4</v>
      </c>
      <c r="B636" s="304">
        <f t="shared" ca="1" si="268"/>
        <v>33.911300000000587</v>
      </c>
      <c r="D636" s="306">
        <f t="shared" ca="1" si="269"/>
        <v>-0.73603061712596285</v>
      </c>
      <c r="E636" s="307">
        <f t="shared" ca="1" si="270"/>
        <v>-2.6091436976728675</v>
      </c>
      <c r="F636" s="304">
        <f t="shared" ca="1" si="271"/>
        <v>2.7109725016039667</v>
      </c>
      <c r="G636" s="306">
        <f t="shared" ca="1" si="272"/>
        <v>12.577995519431477</v>
      </c>
      <c r="H636" s="307">
        <f t="shared" ca="1" si="273"/>
        <v>-123.05610425072246</v>
      </c>
      <c r="I636" s="304">
        <f t="shared" ca="1" si="274"/>
        <v>123.69725447499435</v>
      </c>
      <c r="J636" s="306">
        <f t="shared" ca="1" si="275"/>
        <v>780.60585379989482</v>
      </c>
      <c r="K636" s="307">
        <f t="shared" ca="1" si="276"/>
        <v>-4.6228413080113278</v>
      </c>
      <c r="L636" s="304">
        <f t="shared" ca="1" si="261"/>
        <v>780.61954218967753</v>
      </c>
      <c r="M636" s="306">
        <f t="shared" ca="1" si="277"/>
        <v>-1.4689365705725672</v>
      </c>
      <c r="N636" s="304">
        <f t="shared" ca="1" si="278"/>
        <v>-84.163865866229102</v>
      </c>
      <c r="P636" s="310">
        <f t="shared" ca="1" si="279"/>
        <v>23</v>
      </c>
      <c r="Q636" s="304">
        <f t="shared" ca="1" si="280"/>
        <v>0</v>
      </c>
      <c r="R636" s="306">
        <f t="shared" ca="1" si="281"/>
        <v>0</v>
      </c>
      <c r="S636" s="307">
        <f t="shared" ca="1" si="282"/>
        <v>8.0499999999999989</v>
      </c>
      <c r="T636" s="304">
        <f t="shared" ca="1" si="262"/>
        <v>78.970499999999987</v>
      </c>
      <c r="U636" s="311">
        <f t="shared" ca="1" si="263"/>
        <v>0</v>
      </c>
      <c r="V636" s="306">
        <f t="shared" ca="1" si="264"/>
        <v>1.2255664289857968</v>
      </c>
      <c r="W636" s="304">
        <f t="shared" ca="1" si="265"/>
        <v>58.269227895285191</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2.5207768020355399</v>
      </c>
      <c r="AH636" s="304">
        <f t="shared" ca="1" si="289"/>
        <v>-7.2383749941621023</v>
      </c>
    </row>
    <row r="637" spans="1:34" x14ac:dyDescent="0.3">
      <c r="A637" s="347">
        <f t="shared" ca="1" si="267"/>
        <v>1E-4</v>
      </c>
      <c r="B637" s="304">
        <f t="shared" ca="1" si="268"/>
        <v>33.91140000000059</v>
      </c>
      <c r="D637" s="306">
        <f t="shared" ca="1" si="269"/>
        <v>-0.73602871574571116</v>
      </c>
      <c r="E637" s="307">
        <f t="shared" ca="1" si="270"/>
        <v>-2.6091048942253536</v>
      </c>
      <c r="F637" s="304">
        <f t="shared" ca="1" si="271"/>
        <v>2.7109346394690106</v>
      </c>
      <c r="G637" s="306">
        <f t="shared" ca="1" si="272"/>
        <v>12.577921916559902</v>
      </c>
      <c r="H637" s="307">
        <f t="shared" ca="1" si="273"/>
        <v>-123.05636516121187</v>
      </c>
      <c r="I637" s="304">
        <f t="shared" ca="1" si="274"/>
        <v>123.69750654895432</v>
      </c>
      <c r="J637" s="306">
        <f t="shared" ca="1" si="275"/>
        <v>780.60585379989482</v>
      </c>
      <c r="K637" s="307">
        <f t="shared" ca="1" si="276"/>
        <v>-4.6351469314819242</v>
      </c>
      <c r="L637" s="304">
        <f t="shared" ca="1" si="261"/>
        <v>780.61961516076394</v>
      </c>
      <c r="M637" s="306">
        <f t="shared" ca="1" si="277"/>
        <v>-1.468937376989127</v>
      </c>
      <c r="N637" s="304">
        <f t="shared" ca="1" si="278"/>
        <v>-84.163912070494504</v>
      </c>
      <c r="P637" s="310">
        <f t="shared" ca="1" si="279"/>
        <v>23</v>
      </c>
      <c r="Q637" s="304">
        <f t="shared" ca="1" si="280"/>
        <v>0</v>
      </c>
      <c r="R637" s="306">
        <f t="shared" ca="1" si="281"/>
        <v>0</v>
      </c>
      <c r="S637" s="307">
        <f t="shared" ca="1" si="282"/>
        <v>8.0499999999999989</v>
      </c>
      <c r="T637" s="304">
        <f t="shared" ca="1" si="262"/>
        <v>78.970499999999987</v>
      </c>
      <c r="U637" s="311">
        <f t="shared" ca="1" si="263"/>
        <v>0</v>
      </c>
      <c r="V637" s="306">
        <f t="shared" ca="1" si="264"/>
        <v>1.2255679371227073</v>
      </c>
      <c r="W637" s="304">
        <f t="shared" ca="1" si="265"/>
        <v>58.2695370853314</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2.5207391974821522</v>
      </c>
      <c r="AH637" s="304">
        <f t="shared" ca="1" si="289"/>
        <v>-7.2384134031410188</v>
      </c>
    </row>
    <row r="638" spans="1:34" x14ac:dyDescent="0.3">
      <c r="A638" s="347">
        <f t="shared" ca="1" si="267"/>
        <v>1E-4</v>
      </c>
      <c r="B638" s="304">
        <f t="shared" ca="1" si="268"/>
        <v>33.911500000000594</v>
      </c>
      <c r="D638" s="306">
        <f t="shared" ca="1" si="269"/>
        <v>-0.73602681433278228</v>
      </c>
      <c r="E638" s="307">
        <f t="shared" ca="1" si="270"/>
        <v>-2.6090660910582022</v>
      </c>
      <c r="F638" s="304">
        <f t="shared" ca="1" si="271"/>
        <v>2.7108967776229678</v>
      </c>
      <c r="G638" s="306">
        <f t="shared" ca="1" si="272"/>
        <v>12.577848313878468</v>
      </c>
      <c r="H638" s="307">
        <f t="shared" ca="1" si="273"/>
        <v>-123.05662606782097</v>
      </c>
      <c r="I638" s="304">
        <f t="shared" ca="1" si="274"/>
        <v>123.69775861915384</v>
      </c>
      <c r="J638" s="306">
        <f t="shared" ca="1" si="275"/>
        <v>780.60585379989482</v>
      </c>
      <c r="K638" s="307">
        <f t="shared" ca="1" si="276"/>
        <v>-4.6474525810433756</v>
      </c>
      <c r="L638" s="304">
        <f t="shared" ca="1" si="261"/>
        <v>780.61968832598359</v>
      </c>
      <c r="M638" s="306">
        <f t="shared" ca="1" si="277"/>
        <v>-1.4689381833976809</v>
      </c>
      <c r="N638" s="304">
        <f t="shared" ca="1" si="278"/>
        <v>-84.163958274301208</v>
      </c>
      <c r="P638" s="310">
        <f t="shared" ca="1" si="279"/>
        <v>23</v>
      </c>
      <c r="Q638" s="304">
        <f t="shared" ca="1" si="280"/>
        <v>0</v>
      </c>
      <c r="R638" s="306">
        <f t="shared" ca="1" si="281"/>
        <v>0</v>
      </c>
      <c r="S638" s="307">
        <f t="shared" ca="1" si="282"/>
        <v>8.0499999999999989</v>
      </c>
      <c r="T638" s="304">
        <f t="shared" ca="1" si="262"/>
        <v>78.970499999999987</v>
      </c>
      <c r="U638" s="311">
        <f t="shared" ca="1" si="263"/>
        <v>0</v>
      </c>
      <c r="V638" s="306">
        <f t="shared" ca="1" si="264"/>
        <v>1.2255694452646713</v>
      </c>
      <c r="W638" s="304">
        <f t="shared" ca="1" si="265"/>
        <v>58.2698462731435</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2.5207015931919576</v>
      </c>
      <c r="AH638" s="304">
        <f t="shared" ca="1" si="289"/>
        <v>-7.2384518118424106</v>
      </c>
    </row>
    <row r="639" spans="1:34" x14ac:dyDescent="0.3">
      <c r="A639" s="347">
        <f t="shared" ca="1" si="267"/>
        <v>1E-4</v>
      </c>
      <c r="B639" s="304">
        <f t="shared" ca="1" si="268"/>
        <v>33.911600000000597</v>
      </c>
      <c r="D639" s="306">
        <f t="shared" ca="1" si="269"/>
        <v>-0.73602491288717919</v>
      </c>
      <c r="E639" s="307">
        <f t="shared" ca="1" si="270"/>
        <v>-2.6090272881714158</v>
      </c>
      <c r="F639" s="304">
        <f t="shared" ca="1" si="271"/>
        <v>2.7108589160658423</v>
      </c>
      <c r="G639" s="306">
        <f t="shared" ca="1" si="272"/>
        <v>12.577774711387178</v>
      </c>
      <c r="H639" s="307">
        <f t="shared" ca="1" si="273"/>
        <v>-123.05688697054978</v>
      </c>
      <c r="I639" s="304">
        <f t="shared" ca="1" si="274"/>
        <v>123.69801068559299</v>
      </c>
      <c r="J639" s="306">
        <f t="shared" ca="1" si="275"/>
        <v>780.60585379989482</v>
      </c>
      <c r="K639" s="307">
        <f t="shared" ca="1" si="276"/>
        <v>-4.6597582566952944</v>
      </c>
      <c r="L639" s="304">
        <f t="shared" ca="1" si="261"/>
        <v>780.61976168533783</v>
      </c>
      <c r="M639" s="306">
        <f t="shared" ca="1" si="277"/>
        <v>-1.4689389897982297</v>
      </c>
      <c r="N639" s="304">
        <f t="shared" ca="1" si="278"/>
        <v>-84.164004477649257</v>
      </c>
      <c r="P639" s="310">
        <f t="shared" ca="1" si="279"/>
        <v>23</v>
      </c>
      <c r="Q639" s="304">
        <f t="shared" ca="1" si="280"/>
        <v>0</v>
      </c>
      <c r="R639" s="306">
        <f t="shared" ca="1" si="281"/>
        <v>0</v>
      </c>
      <c r="S639" s="307">
        <f t="shared" ca="1" si="282"/>
        <v>8.0499999999999989</v>
      </c>
      <c r="T639" s="304">
        <f t="shared" ca="1" si="262"/>
        <v>78.970499999999987</v>
      </c>
      <c r="U639" s="311">
        <f t="shared" ca="1" si="263"/>
        <v>0</v>
      </c>
      <c r="V639" s="306">
        <f t="shared" ca="1" si="264"/>
        <v>1.2255709534116888</v>
      </c>
      <c r="W639" s="304">
        <f t="shared" ca="1" si="265"/>
        <v>58.27015545872149</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2.5206639891649578</v>
      </c>
      <c r="AH639" s="304">
        <f t="shared" ca="1" si="289"/>
        <v>-7.2384902202662742</v>
      </c>
    </row>
    <row r="640" spans="1:34" x14ac:dyDescent="0.3">
      <c r="A640" s="347">
        <f t="shared" ca="1" si="267"/>
        <v>1E-4</v>
      </c>
      <c r="B640" s="304">
        <f t="shared" ca="1" si="268"/>
        <v>33.9117000000006</v>
      </c>
      <c r="D640" s="306">
        <f t="shared" ca="1" si="269"/>
        <v>-0.73602301140889825</v>
      </c>
      <c r="E640" s="307">
        <f t="shared" ca="1" si="270"/>
        <v>-2.6089884855649972</v>
      </c>
      <c r="F640" s="304">
        <f t="shared" ca="1" si="271"/>
        <v>2.7108210547976346</v>
      </c>
      <c r="G640" s="306">
        <f t="shared" ca="1" si="272"/>
        <v>12.577701109086037</v>
      </c>
      <c r="H640" s="307">
        <f t="shared" ca="1" si="273"/>
        <v>-123.05714786939834</v>
      </c>
      <c r="I640" s="304">
        <f t="shared" ca="1" si="274"/>
        <v>123.69826274827173</v>
      </c>
      <c r="J640" s="306">
        <f t="shared" ca="1" si="275"/>
        <v>780.60585379989482</v>
      </c>
      <c r="K640" s="307">
        <f t="shared" ca="1" si="276"/>
        <v>-4.6720639584372918</v>
      </c>
      <c r="L640" s="304">
        <f t="shared" ca="1" si="261"/>
        <v>780.6198352388277</v>
      </c>
      <c r="M640" s="306">
        <f t="shared" ca="1" si="277"/>
        <v>-1.4689397961907731</v>
      </c>
      <c r="N640" s="304">
        <f t="shared" ca="1" si="278"/>
        <v>-84.164050680538622</v>
      </c>
      <c r="P640" s="310">
        <f t="shared" ca="1" si="279"/>
        <v>23</v>
      </c>
      <c r="Q640" s="304">
        <f t="shared" ca="1" si="280"/>
        <v>0</v>
      </c>
      <c r="R640" s="306">
        <f t="shared" ca="1" si="281"/>
        <v>0</v>
      </c>
      <c r="S640" s="307">
        <f t="shared" ca="1" si="282"/>
        <v>8.0499999999999989</v>
      </c>
      <c r="T640" s="304">
        <f t="shared" ca="1" si="262"/>
        <v>78.970499999999987</v>
      </c>
      <c r="U640" s="311">
        <f t="shared" ca="1" si="263"/>
        <v>0</v>
      </c>
      <c r="V640" s="306">
        <f t="shared" ca="1" si="264"/>
        <v>1.2255724615637607</v>
      </c>
      <c r="W640" s="304">
        <f t="shared" ca="1" si="265"/>
        <v>58.27046464206537</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2.5206263854011555</v>
      </c>
      <c r="AH640" s="304">
        <f t="shared" ca="1" si="289"/>
        <v>-7.2385286284126087</v>
      </c>
    </row>
    <row r="641" spans="1:34" x14ac:dyDescent="0.3">
      <c r="A641" s="347">
        <f t="shared" ca="1" si="267"/>
        <v>1E-4</v>
      </c>
      <c r="B641" s="304">
        <f t="shared" ca="1" si="268"/>
        <v>33.911800000000603</v>
      </c>
      <c r="D641" s="306">
        <f t="shared" ca="1" si="269"/>
        <v>-0.73602110989794278</v>
      </c>
      <c r="E641" s="307">
        <f t="shared" ca="1" si="270"/>
        <v>-2.6089496832389463</v>
      </c>
      <c r="F641" s="304">
        <f t="shared" ca="1" si="271"/>
        <v>2.7107831938183469</v>
      </c>
      <c r="G641" s="306">
        <f t="shared" ca="1" si="272"/>
        <v>12.577627506975048</v>
      </c>
      <c r="H641" s="307">
        <f t="shared" ca="1" si="273"/>
        <v>-123.05740876436666</v>
      </c>
      <c r="I641" s="304">
        <f t="shared" ca="1" si="274"/>
        <v>123.69851480719014</v>
      </c>
      <c r="J641" s="306">
        <f t="shared" ca="1" si="275"/>
        <v>780.60585379989482</v>
      </c>
      <c r="K641" s="307">
        <f t="shared" ca="1" si="276"/>
        <v>-4.6843696862689796</v>
      </c>
      <c r="L641" s="304">
        <f t="shared" ca="1" si="261"/>
        <v>780.61990898645433</v>
      </c>
      <c r="M641" s="306">
        <f t="shared" ca="1" si="277"/>
        <v>-1.4689406025753111</v>
      </c>
      <c r="N641" s="304">
        <f t="shared" ca="1" si="278"/>
        <v>-84.164096882969318</v>
      </c>
      <c r="P641" s="310">
        <f t="shared" ca="1" si="279"/>
        <v>23</v>
      </c>
      <c r="Q641" s="304">
        <f t="shared" ca="1" si="280"/>
        <v>0</v>
      </c>
      <c r="R641" s="306">
        <f t="shared" ca="1" si="281"/>
        <v>0</v>
      </c>
      <c r="S641" s="307">
        <f t="shared" ca="1" si="282"/>
        <v>8.0499999999999989</v>
      </c>
      <c r="T641" s="304">
        <f t="shared" ca="1" si="262"/>
        <v>78.970499999999987</v>
      </c>
      <c r="U641" s="311">
        <f t="shared" ca="1" si="263"/>
        <v>0</v>
      </c>
      <c r="V641" s="306">
        <f t="shared" ca="1" si="264"/>
        <v>1.2255739697208863</v>
      </c>
      <c r="W641" s="304">
        <f t="shared" ca="1" si="265"/>
        <v>58.270773823175148</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2.5205887819005515</v>
      </c>
      <c r="AH641" s="304">
        <f t="shared" ca="1" si="289"/>
        <v>-7.2385670362814132</v>
      </c>
    </row>
    <row r="642" spans="1:34" x14ac:dyDescent="0.3">
      <c r="A642" s="347">
        <f t="shared" ca="1" si="267"/>
        <v>1E-4</v>
      </c>
      <c r="B642" s="304">
        <f t="shared" ca="1" si="268"/>
        <v>33.911900000000607</v>
      </c>
      <c r="D642" s="306">
        <f t="shared" ca="1" si="269"/>
        <v>-0.73601920835431467</v>
      </c>
      <c r="E642" s="307">
        <f t="shared" ca="1" si="270"/>
        <v>-2.6089108811932595</v>
      </c>
      <c r="F642" s="304">
        <f t="shared" ca="1" si="271"/>
        <v>2.7107453331279761</v>
      </c>
      <c r="G642" s="306">
        <f t="shared" ca="1" si="272"/>
        <v>12.577553905054213</v>
      </c>
      <c r="H642" s="307">
        <f t="shared" ca="1" si="273"/>
        <v>-123.05766965545477</v>
      </c>
      <c r="I642" s="304">
        <f t="shared" ca="1" si="274"/>
        <v>123.69876686234822</v>
      </c>
      <c r="J642" s="306">
        <f t="shared" ca="1" si="275"/>
        <v>780.60585379989482</v>
      </c>
      <c r="K642" s="307">
        <f t="shared" ca="1" si="276"/>
        <v>-4.6966754401899706</v>
      </c>
      <c r="L642" s="304">
        <f t="shared" ca="1" si="261"/>
        <v>780.6199829282192</v>
      </c>
      <c r="M642" s="306">
        <f t="shared" ca="1" si="277"/>
        <v>-1.4689414089518442</v>
      </c>
      <c r="N642" s="304">
        <f t="shared" ca="1" si="278"/>
        <v>-84.164143084941358</v>
      </c>
      <c r="P642" s="310">
        <f t="shared" ca="1" si="279"/>
        <v>23</v>
      </c>
      <c r="Q642" s="304">
        <f t="shared" ca="1" si="280"/>
        <v>0</v>
      </c>
      <c r="R642" s="306">
        <f t="shared" ca="1" si="281"/>
        <v>0</v>
      </c>
      <c r="S642" s="307">
        <f t="shared" ca="1" si="282"/>
        <v>8.0499999999999989</v>
      </c>
      <c r="T642" s="304">
        <f t="shared" ca="1" si="262"/>
        <v>78.970499999999987</v>
      </c>
      <c r="U642" s="311">
        <f t="shared" ca="1" si="263"/>
        <v>0</v>
      </c>
      <c r="V642" s="306">
        <f t="shared" ca="1" si="264"/>
        <v>1.2255754778830654</v>
      </c>
      <c r="W642" s="304">
        <f t="shared" ca="1" si="265"/>
        <v>58.271083002050801</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2.5205511786631467</v>
      </c>
      <c r="AH642" s="304">
        <f t="shared" ca="1" si="289"/>
        <v>-7.2386054438726903</v>
      </c>
    </row>
    <row r="643" spans="1:34" x14ac:dyDescent="0.3">
      <c r="A643" s="347">
        <f t="shared" ca="1" si="267"/>
        <v>1E-4</v>
      </c>
      <c r="B643" s="304">
        <f t="shared" ca="1" si="268"/>
        <v>33.91200000000061</v>
      </c>
      <c r="D643" s="306">
        <f t="shared" ca="1" si="269"/>
        <v>-0.73601730677801169</v>
      </c>
      <c r="E643" s="307">
        <f t="shared" ca="1" si="270"/>
        <v>-2.6088720794279432</v>
      </c>
      <c r="F643" s="304">
        <f t="shared" ca="1" si="271"/>
        <v>2.7107074727265275</v>
      </c>
      <c r="G643" s="306">
        <f t="shared" ca="1" si="272"/>
        <v>12.577480303323535</v>
      </c>
      <c r="H643" s="307">
        <f t="shared" ca="1" si="273"/>
        <v>-123.05793054266272</v>
      </c>
      <c r="I643" s="304">
        <f t="shared" ca="1" si="274"/>
        <v>123.699018913746</v>
      </c>
      <c r="J643" s="306">
        <f t="shared" ca="1" si="275"/>
        <v>780.60585379989482</v>
      </c>
      <c r="K643" s="307">
        <f t="shared" ca="1" si="276"/>
        <v>-4.7089812201998766</v>
      </c>
      <c r="L643" s="304">
        <f t="shared" ca="1" si="261"/>
        <v>780.62005706412322</v>
      </c>
      <c r="M643" s="306">
        <f t="shared" ca="1" si="277"/>
        <v>-1.4689422153203724</v>
      </c>
      <c r="N643" s="304">
        <f t="shared" ca="1" si="278"/>
        <v>-84.164189286454757</v>
      </c>
      <c r="P643" s="310">
        <f t="shared" ca="1" si="279"/>
        <v>23</v>
      </c>
      <c r="Q643" s="304">
        <f t="shared" ca="1" si="280"/>
        <v>0</v>
      </c>
      <c r="R643" s="306">
        <f t="shared" ca="1" si="281"/>
        <v>0</v>
      </c>
      <c r="S643" s="307">
        <f t="shared" ca="1" si="282"/>
        <v>8.0499999999999989</v>
      </c>
      <c r="T643" s="304">
        <f t="shared" ca="1" si="262"/>
        <v>78.970499999999987</v>
      </c>
      <c r="U643" s="311">
        <f t="shared" ca="1" si="263"/>
        <v>0</v>
      </c>
      <c r="V643" s="306">
        <f t="shared" ca="1" si="264"/>
        <v>1.2255769860502983</v>
      </c>
      <c r="W643" s="304">
        <f t="shared" ca="1" si="265"/>
        <v>58.271392178692302</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2.5205135756889403</v>
      </c>
      <c r="AH643" s="304">
        <f t="shared" ca="1" si="289"/>
        <v>-7.2386438511864357</v>
      </c>
    </row>
    <row r="644" spans="1:34" x14ac:dyDescent="0.3">
      <c r="A644" s="347">
        <f t="shared" ca="1" si="267"/>
        <v>1E-4</v>
      </c>
      <c r="B644" s="304">
        <f t="shared" ca="1" si="268"/>
        <v>33.912100000000613</v>
      </c>
      <c r="D644" s="306">
        <f t="shared" ca="1" si="269"/>
        <v>-0.73601540516903552</v>
      </c>
      <c r="E644" s="307">
        <f t="shared" ca="1" si="270"/>
        <v>-2.6088332779429981</v>
      </c>
      <c r="F644" s="304">
        <f t="shared" ca="1" si="271"/>
        <v>2.7106696126140029</v>
      </c>
      <c r="G644" s="306">
        <f t="shared" ca="1" si="272"/>
        <v>12.577406701783017</v>
      </c>
      <c r="H644" s="307">
        <f t="shared" ca="1" si="273"/>
        <v>-123.05819142599051</v>
      </c>
      <c r="I644" s="304">
        <f t="shared" ca="1" si="274"/>
        <v>123.69927096138352</v>
      </c>
      <c r="J644" s="306">
        <f t="shared" ca="1" si="275"/>
        <v>780.60585379989482</v>
      </c>
      <c r="K644" s="307">
        <f t="shared" ca="1" si="276"/>
        <v>-4.7212870262983095</v>
      </c>
      <c r="L644" s="304">
        <f t="shared" ref="L644:L707" ca="1" si="290">SQRT(pos_x^2+pos_z^2)</f>
        <v>780.62013139416752</v>
      </c>
      <c r="M644" s="306">
        <f t="shared" ca="1" si="277"/>
        <v>-1.4689430216808959</v>
      </c>
      <c r="N644" s="304">
        <f t="shared" ca="1" si="278"/>
        <v>-84.164235487509515</v>
      </c>
      <c r="P644" s="310">
        <f t="shared" ca="1" si="279"/>
        <v>23</v>
      </c>
      <c r="Q644" s="304">
        <f t="shared" ca="1" si="280"/>
        <v>0</v>
      </c>
      <c r="R644" s="306">
        <f t="shared" ca="1" si="281"/>
        <v>0</v>
      </c>
      <c r="S644" s="307">
        <f t="shared" ca="1" si="282"/>
        <v>8.0499999999999989</v>
      </c>
      <c r="T644" s="304">
        <f t="shared" ref="T644:T707" ca="1" si="291">m*g</f>
        <v>78.970499999999987</v>
      </c>
      <c r="U644" s="311">
        <f t="shared" ref="U644:U707" ca="1" si="292">IF(pos_xz&lt;L_rampe,Poids*COS(Beta),0)</f>
        <v>0</v>
      </c>
      <c r="V644" s="306">
        <f t="shared" ref="V644:V707" ca="1" si="293">Rho_moyen*(20000-Alt_rampe-pos_z)/(20000+Alt_rampe+pos_z)</f>
        <v>1.2255784942225851</v>
      </c>
      <c r="W644" s="304">
        <f t="shared" ref="W644:W707" ca="1" si="294">1/2*Rho*Sref*Cx*vit_xz^2</f>
        <v>58.271701353099687</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2.5204759729779376</v>
      </c>
      <c r="AH644" s="304">
        <f t="shared" ca="1" si="289"/>
        <v>-7.2386822582226475</v>
      </c>
    </row>
    <row r="645" spans="1:34" x14ac:dyDescent="0.3">
      <c r="A645" s="347">
        <f t="shared" ref="A645:A708" ca="1" si="296">IF(B644+0.01&lt;=T_ini+ROUNDUP(Temps_fin_propu,0), 0.01, IF(K644&gt;0, 0.1, 0.0001))</f>
        <v>1E-4</v>
      </c>
      <c r="B645" s="304">
        <f t="shared" ref="B645:B708" ca="1" si="297">B644+pas</f>
        <v>33.912200000000617</v>
      </c>
      <c r="D645" s="306">
        <f t="shared" ref="D645:D708" ca="1" si="298">IF(AND(L644&lt;L_rampe,Poussee&lt;Poids*SIN(M644)),0,(-W644+Poussee)/m*COS(M644)-U644/m*SIN(M644))</f>
        <v>-0.73601350352738626</v>
      </c>
      <c r="E645" s="307">
        <f t="shared" ref="E645:E708" ca="1" si="299">IF(AND(L644&lt;L_rampe,Poussee&lt;Poids*SIN(M644)),0,(-W644+Poussee)/m*SIN(M644)+U644/m*COS(M644)-Poids/m)</f>
        <v>-2.6087944767384217</v>
      </c>
      <c r="F645" s="304">
        <f t="shared" ref="F645:F708" ca="1" si="300">SQRT(acc_x^2+acc_z^2)</f>
        <v>2.7106317527903996</v>
      </c>
      <c r="G645" s="306">
        <f t="shared" ref="G645:G708" ca="1" si="301">G644+acc_x*pas</f>
        <v>12.577333100432664</v>
      </c>
      <c r="H645" s="307">
        <f t="shared" ref="H645:H708" ca="1" si="302">H644+acc_z*pas</f>
        <v>-123.05845230543819</v>
      </c>
      <c r="I645" s="304">
        <f t="shared" ref="I645:I708" ca="1" si="303">SQRT(vit_x^2+vit_z^2)</f>
        <v>123.6995230052608</v>
      </c>
      <c r="J645" s="306">
        <f t="shared" ref="J645:J708" ca="1" si="304">J644+0.5*(vit_x+G644)*pas*(K644&gt;=0)</f>
        <v>780.60585379989482</v>
      </c>
      <c r="K645" s="307">
        <f t="shared" ref="K645:K708" ca="1" si="305">K644+0.5*(vit_z+H644)*pas</f>
        <v>-4.7335928584848812</v>
      </c>
      <c r="L645" s="304">
        <f t="shared" ca="1" si="290"/>
        <v>780.62020591835346</v>
      </c>
      <c r="M645" s="306">
        <f t="shared" ref="M645:M708" ca="1" si="306">IF(AND(L644&gt;L_rampe,G645&gt;0),ATAN2(G645,H645),$M$4)</f>
        <v>-1.4689438280334144</v>
      </c>
      <c r="N645" s="304">
        <f t="shared" ref="N645:N708" ca="1" si="307">DEGREES(Beta)</f>
        <v>-84.164281688105632</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8.0499999999999989</v>
      </c>
      <c r="T645" s="304">
        <f t="shared" ca="1" si="291"/>
        <v>78.970499999999987</v>
      </c>
      <c r="U645" s="311">
        <f t="shared" ca="1" si="292"/>
        <v>0</v>
      </c>
      <c r="V645" s="306">
        <f t="shared" ca="1" si="293"/>
        <v>1.2255800023999253</v>
      </c>
      <c r="W645" s="304">
        <f t="shared" ca="1" si="294"/>
        <v>58.272010525272933</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2.5204383705301359</v>
      </c>
      <c r="AH645" s="304">
        <f t="shared" ref="AH645:AH708" ca="1" si="318">IF(AND(L644&lt;L_rampe,Poussee&lt;Poids*SIN(M644)), g*SIN(M644), (-W644+Poussee)/m)</f>
        <v>-7.2387206649813285</v>
      </c>
    </row>
    <row r="646" spans="1:34" x14ac:dyDescent="0.3">
      <c r="A646" s="347">
        <f t="shared" ca="1" si="296"/>
        <v>1E-4</v>
      </c>
      <c r="B646" s="304">
        <f t="shared" ca="1" si="297"/>
        <v>33.91230000000062</v>
      </c>
      <c r="D646" s="306">
        <f t="shared" ca="1" si="298"/>
        <v>-0.73601160185306702</v>
      </c>
      <c r="E646" s="307">
        <f t="shared" ca="1" si="299"/>
        <v>-2.6087556758142156</v>
      </c>
      <c r="F646" s="304">
        <f t="shared" ca="1" si="300"/>
        <v>2.7105938932557203</v>
      </c>
      <c r="G646" s="306">
        <f t="shared" ca="1" si="301"/>
        <v>12.577259499272479</v>
      </c>
      <c r="H646" s="307">
        <f t="shared" ca="1" si="302"/>
        <v>-123.05871318100577</v>
      </c>
      <c r="I646" s="304">
        <f t="shared" ca="1" si="303"/>
        <v>123.69977504537785</v>
      </c>
      <c r="J646" s="306">
        <f t="shared" ca="1" si="304"/>
        <v>780.60585379989482</v>
      </c>
      <c r="K646" s="307">
        <f t="shared" ca="1" si="305"/>
        <v>-4.7458987167592035</v>
      </c>
      <c r="L646" s="304">
        <f t="shared" ca="1" si="290"/>
        <v>780.6202806366822</v>
      </c>
      <c r="M646" s="306">
        <f t="shared" ca="1" si="306"/>
        <v>-1.4689446343779284</v>
      </c>
      <c r="N646" s="304">
        <f t="shared" ca="1" si="307"/>
        <v>-84.164327888243122</v>
      </c>
      <c r="P646" s="310">
        <f t="shared" ca="1" si="308"/>
        <v>23</v>
      </c>
      <c r="Q646" s="304">
        <f t="shared" ca="1" si="309"/>
        <v>0</v>
      </c>
      <c r="R646" s="306">
        <f t="shared" ca="1" si="310"/>
        <v>0</v>
      </c>
      <c r="S646" s="307">
        <f t="shared" ca="1" si="311"/>
        <v>8.0499999999999989</v>
      </c>
      <c r="T646" s="304">
        <f t="shared" ca="1" si="291"/>
        <v>78.970499999999987</v>
      </c>
      <c r="U646" s="311">
        <f t="shared" ca="1" si="292"/>
        <v>0</v>
      </c>
      <c r="V646" s="306">
        <f t="shared" ca="1" si="293"/>
        <v>1.2255815105823193</v>
      </c>
      <c r="W646" s="304">
        <f t="shared" ca="1" si="294"/>
        <v>58.272319695212026</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2.5204007683455369</v>
      </c>
      <c r="AH646" s="304">
        <f t="shared" ca="1" si="318"/>
        <v>-7.2387590714624768</v>
      </c>
    </row>
    <row r="647" spans="1:34" x14ac:dyDescent="0.3">
      <c r="A647" s="347">
        <f t="shared" ca="1" si="296"/>
        <v>1E-4</v>
      </c>
      <c r="B647" s="304">
        <f t="shared" ca="1" si="297"/>
        <v>33.912400000000623</v>
      </c>
      <c r="D647" s="306">
        <f t="shared" ca="1" si="298"/>
        <v>-0.73600970014607592</v>
      </c>
      <c r="E647" s="307">
        <f t="shared" ca="1" si="299"/>
        <v>-2.6087168751703809</v>
      </c>
      <c r="F647" s="304">
        <f t="shared" ca="1" si="300"/>
        <v>2.7105560340099655</v>
      </c>
      <c r="G647" s="306">
        <f t="shared" ca="1" si="301"/>
        <v>12.577185898302465</v>
      </c>
      <c r="H647" s="307">
        <f t="shared" ca="1" si="302"/>
        <v>-123.05897405269329</v>
      </c>
      <c r="I647" s="304">
        <f t="shared" ca="1" si="303"/>
        <v>123.7000270817347</v>
      </c>
      <c r="J647" s="306">
        <f t="shared" ca="1" si="304"/>
        <v>780.60585379989482</v>
      </c>
      <c r="K647" s="307">
        <f t="shared" ca="1" si="305"/>
        <v>-4.7582046011208883</v>
      </c>
      <c r="L647" s="304">
        <f t="shared" ca="1" si="290"/>
        <v>780.62035554915485</v>
      </c>
      <c r="M647" s="306">
        <f t="shared" ca="1" si="306"/>
        <v>-1.4689454407144382</v>
      </c>
      <c r="N647" s="304">
        <f t="shared" ca="1" si="307"/>
        <v>-84.164374087921999</v>
      </c>
      <c r="P647" s="310">
        <f t="shared" ca="1" si="308"/>
        <v>23</v>
      </c>
      <c r="Q647" s="304">
        <f t="shared" ca="1" si="309"/>
        <v>0</v>
      </c>
      <c r="R647" s="306">
        <f t="shared" ca="1" si="310"/>
        <v>0</v>
      </c>
      <c r="S647" s="307">
        <f t="shared" ca="1" si="311"/>
        <v>8.0499999999999989</v>
      </c>
      <c r="T647" s="304">
        <f t="shared" ca="1" si="291"/>
        <v>78.970499999999987</v>
      </c>
      <c r="U647" s="311">
        <f t="shared" ca="1" si="292"/>
        <v>0</v>
      </c>
      <c r="V647" s="306">
        <f t="shared" ca="1" si="293"/>
        <v>1.2255830187697669</v>
      </c>
      <c r="W647" s="304">
        <f t="shared" ca="1" si="294"/>
        <v>58.272628862916946</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2.5203631664241417</v>
      </c>
      <c r="AH647" s="304">
        <f t="shared" ca="1" si="318"/>
        <v>-7.2387974776660915</v>
      </c>
    </row>
    <row r="648" spans="1:34" x14ac:dyDescent="0.3">
      <c r="A648" s="347">
        <f t="shared" ca="1" si="296"/>
        <v>1E-4</v>
      </c>
      <c r="B648" s="304">
        <f t="shared" ca="1" si="297"/>
        <v>33.912500000000627</v>
      </c>
      <c r="D648" s="306">
        <f t="shared" ca="1" si="298"/>
        <v>-0.73600779840641273</v>
      </c>
      <c r="E648" s="307">
        <f t="shared" ca="1" si="299"/>
        <v>-2.6086780748069218</v>
      </c>
      <c r="F648" s="304">
        <f t="shared" ca="1" si="300"/>
        <v>2.7105181750531395</v>
      </c>
      <c r="G648" s="306">
        <f t="shared" ca="1" si="301"/>
        <v>12.577112297522625</v>
      </c>
      <c r="H648" s="307">
        <f t="shared" ca="1" si="302"/>
        <v>-123.05923492050077</v>
      </c>
      <c r="I648" s="304">
        <f t="shared" ca="1" si="303"/>
        <v>123.70027911433139</v>
      </c>
      <c r="J648" s="306">
        <f t="shared" ca="1" si="304"/>
        <v>780.60585379989482</v>
      </c>
      <c r="K648" s="307">
        <f t="shared" ca="1" si="305"/>
        <v>-4.7705105115695483</v>
      </c>
      <c r="L648" s="304">
        <f t="shared" ca="1" si="290"/>
        <v>780.62043065577245</v>
      </c>
      <c r="M648" s="306">
        <f t="shared" ca="1" si="306"/>
        <v>-1.4689462470429433</v>
      </c>
      <c r="N648" s="304">
        <f t="shared" ca="1" si="307"/>
        <v>-84.164420287142235</v>
      </c>
      <c r="P648" s="310">
        <f t="shared" ca="1" si="308"/>
        <v>23</v>
      </c>
      <c r="Q648" s="304">
        <f t="shared" ca="1" si="309"/>
        <v>0</v>
      </c>
      <c r="R648" s="306">
        <f t="shared" ca="1" si="310"/>
        <v>0</v>
      </c>
      <c r="S648" s="307">
        <f t="shared" ca="1" si="311"/>
        <v>8.0499999999999989</v>
      </c>
      <c r="T648" s="304">
        <f t="shared" ca="1" si="291"/>
        <v>78.970499999999987</v>
      </c>
      <c r="U648" s="311">
        <f t="shared" ca="1" si="292"/>
        <v>0</v>
      </c>
      <c r="V648" s="306">
        <f t="shared" ca="1" si="293"/>
        <v>1.2255845269622683</v>
      </c>
      <c r="W648" s="304">
        <f t="shared" ca="1" si="294"/>
        <v>58.272938028387728</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2.5203255647659546</v>
      </c>
      <c r="AH648" s="304">
        <f t="shared" ca="1" si="318"/>
        <v>-7.2388358835921682</v>
      </c>
    </row>
    <row r="649" spans="1:34" x14ac:dyDescent="0.3">
      <c r="A649" s="347">
        <f t="shared" ca="1" si="296"/>
        <v>1E-4</v>
      </c>
      <c r="B649" s="304">
        <f t="shared" ca="1" si="297"/>
        <v>33.91260000000063</v>
      </c>
      <c r="D649" s="306">
        <f t="shared" ca="1" si="298"/>
        <v>-0.73600589663408267</v>
      </c>
      <c r="E649" s="307">
        <f t="shared" ca="1" si="299"/>
        <v>-2.6086392747238332</v>
      </c>
      <c r="F649" s="304">
        <f t="shared" ca="1" si="300"/>
        <v>2.7104803163852393</v>
      </c>
      <c r="G649" s="306">
        <f t="shared" ca="1" si="301"/>
        <v>12.577038696932961</v>
      </c>
      <c r="H649" s="307">
        <f t="shared" ca="1" si="302"/>
        <v>-123.05949578442824</v>
      </c>
      <c r="I649" s="304">
        <f t="shared" ca="1" si="303"/>
        <v>123.70053114316794</v>
      </c>
      <c r="J649" s="306">
        <f t="shared" ca="1" si="304"/>
        <v>780.60585379989482</v>
      </c>
      <c r="K649" s="307">
        <f t="shared" ca="1" si="305"/>
        <v>-4.7828164481047946</v>
      </c>
      <c r="L649" s="304">
        <f t="shared" ca="1" si="290"/>
        <v>780.62050595653648</v>
      </c>
      <c r="M649" s="306">
        <f t="shared" ca="1" si="306"/>
        <v>-1.4689470533634443</v>
      </c>
      <c r="N649" s="304">
        <f t="shared" ca="1" si="307"/>
        <v>-84.164466485903873</v>
      </c>
      <c r="P649" s="310">
        <f t="shared" ca="1" si="308"/>
        <v>23</v>
      </c>
      <c r="Q649" s="304">
        <f t="shared" ca="1" si="309"/>
        <v>0</v>
      </c>
      <c r="R649" s="306">
        <f t="shared" ca="1" si="310"/>
        <v>0</v>
      </c>
      <c r="S649" s="307">
        <f t="shared" ca="1" si="311"/>
        <v>8.0499999999999989</v>
      </c>
      <c r="T649" s="304">
        <f t="shared" ca="1" si="291"/>
        <v>78.970499999999987</v>
      </c>
      <c r="U649" s="311">
        <f t="shared" ca="1" si="292"/>
        <v>0</v>
      </c>
      <c r="V649" s="306">
        <f t="shared" ca="1" si="293"/>
        <v>1.2255860351598229</v>
      </c>
      <c r="W649" s="304">
        <f t="shared" ca="1" si="294"/>
        <v>58.273247191624307</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2.5202879633709721</v>
      </c>
      <c r="AH649" s="304">
        <f t="shared" ca="1" si="318"/>
        <v>-7.2388742892407123</v>
      </c>
    </row>
    <row r="650" spans="1:34" x14ac:dyDescent="0.3">
      <c r="A650" s="347">
        <f t="shared" ca="1" si="296"/>
        <v>1E-4</v>
      </c>
      <c r="B650" s="304">
        <f t="shared" ca="1" si="297"/>
        <v>33.912700000000633</v>
      </c>
      <c r="D650" s="306">
        <f t="shared" ca="1" si="298"/>
        <v>-0.73600399482908174</v>
      </c>
      <c r="E650" s="307">
        <f t="shared" ca="1" si="299"/>
        <v>-2.6086004749211229</v>
      </c>
      <c r="F650" s="304">
        <f t="shared" ca="1" si="300"/>
        <v>2.7104424580062707</v>
      </c>
      <c r="G650" s="306">
        <f t="shared" ca="1" si="301"/>
        <v>12.576965096533478</v>
      </c>
      <c r="H650" s="307">
        <f t="shared" ca="1" si="302"/>
        <v>-123.05975664447573</v>
      </c>
      <c r="I650" s="304">
        <f t="shared" ca="1" si="303"/>
        <v>123.70078316824436</v>
      </c>
      <c r="J650" s="306">
        <f t="shared" ca="1" si="304"/>
        <v>780.60585379989482</v>
      </c>
      <c r="K650" s="307">
        <f t="shared" ca="1" si="305"/>
        <v>-4.7951224107262398</v>
      </c>
      <c r="L650" s="304">
        <f t="shared" ca="1" si="290"/>
        <v>780.62058145144795</v>
      </c>
      <c r="M650" s="306">
        <f t="shared" ca="1" si="306"/>
        <v>-1.4689478596759413</v>
      </c>
      <c r="N650" s="304">
        <f t="shared" ca="1" si="307"/>
        <v>-84.164512684206926</v>
      </c>
      <c r="P650" s="310">
        <f t="shared" ca="1" si="308"/>
        <v>23</v>
      </c>
      <c r="Q650" s="304">
        <f t="shared" ca="1" si="309"/>
        <v>0</v>
      </c>
      <c r="R650" s="306">
        <f t="shared" ca="1" si="310"/>
        <v>0</v>
      </c>
      <c r="S650" s="307">
        <f t="shared" ca="1" si="311"/>
        <v>8.0499999999999989</v>
      </c>
      <c r="T650" s="304">
        <f t="shared" ca="1" si="291"/>
        <v>78.970499999999987</v>
      </c>
      <c r="U650" s="311">
        <f t="shared" ca="1" si="292"/>
        <v>0</v>
      </c>
      <c r="V650" s="306">
        <f t="shared" ca="1" si="293"/>
        <v>1.2255875433624315</v>
      </c>
      <c r="W650" s="304">
        <f t="shared" ca="1" si="294"/>
        <v>58.273556352626727</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2.5202503622392021</v>
      </c>
      <c r="AH650" s="304">
        <f t="shared" ca="1" si="318"/>
        <v>-7.2389126946117157</v>
      </c>
    </row>
    <row r="651" spans="1:34" x14ac:dyDescent="0.3">
      <c r="A651" s="347">
        <f t="shared" ca="1" si="296"/>
        <v>1E-4</v>
      </c>
      <c r="B651" s="304">
        <f t="shared" ca="1" si="297"/>
        <v>33.912800000000637</v>
      </c>
      <c r="D651" s="306">
        <f t="shared" ca="1" si="298"/>
        <v>-0.73600209299141217</v>
      </c>
      <c r="E651" s="307">
        <f t="shared" ca="1" si="299"/>
        <v>-2.6085616753987848</v>
      </c>
      <c r="F651" s="304">
        <f t="shared" ca="1" si="300"/>
        <v>2.7104045999162292</v>
      </c>
      <c r="G651" s="306">
        <f t="shared" ca="1" si="301"/>
        <v>12.576891496324178</v>
      </c>
      <c r="H651" s="307">
        <f t="shared" ca="1" si="302"/>
        <v>-123.06001750064327</v>
      </c>
      <c r="I651" s="304">
        <f t="shared" ca="1" si="303"/>
        <v>123.70103518956071</v>
      </c>
      <c r="J651" s="306">
        <f t="shared" ca="1" si="304"/>
        <v>780.60585379989482</v>
      </c>
      <c r="K651" s="307">
        <f t="shared" ca="1" si="305"/>
        <v>-4.8074283994334959</v>
      </c>
      <c r="L651" s="304">
        <f t="shared" ca="1" si="290"/>
        <v>780.62065714050789</v>
      </c>
      <c r="M651" s="306">
        <f t="shared" ca="1" si="306"/>
        <v>-1.4689486659804343</v>
      </c>
      <c r="N651" s="304">
        <f t="shared" ca="1" si="307"/>
        <v>-84.164558882051381</v>
      </c>
      <c r="P651" s="310">
        <f t="shared" ca="1" si="308"/>
        <v>23</v>
      </c>
      <c r="Q651" s="304">
        <f t="shared" ca="1" si="309"/>
        <v>0</v>
      </c>
      <c r="R651" s="306">
        <f t="shared" ca="1" si="310"/>
        <v>0</v>
      </c>
      <c r="S651" s="307">
        <f t="shared" ca="1" si="311"/>
        <v>8.0499999999999989</v>
      </c>
      <c r="T651" s="304">
        <f t="shared" ca="1" si="291"/>
        <v>78.970499999999987</v>
      </c>
      <c r="U651" s="311">
        <f t="shared" ca="1" si="292"/>
        <v>0</v>
      </c>
      <c r="V651" s="306">
        <f t="shared" ca="1" si="293"/>
        <v>1.2255890515700929</v>
      </c>
      <c r="W651" s="304">
        <f t="shared" ca="1" si="294"/>
        <v>58.273865511394959</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2.5202127613706384</v>
      </c>
      <c r="AH651" s="304">
        <f t="shared" ca="1" si="318"/>
        <v>-7.2389510997051847</v>
      </c>
    </row>
    <row r="652" spans="1:34" x14ac:dyDescent="0.3">
      <c r="A652" s="347">
        <f t="shared" ca="1" si="296"/>
        <v>1E-4</v>
      </c>
      <c r="B652" s="304">
        <f t="shared" ca="1" si="297"/>
        <v>33.91290000000064</v>
      </c>
      <c r="D652" s="306">
        <f t="shared" ca="1" si="298"/>
        <v>-0.73600019112107495</v>
      </c>
      <c r="E652" s="307">
        <f t="shared" ca="1" si="299"/>
        <v>-2.6085228761568242</v>
      </c>
      <c r="F652" s="304">
        <f t="shared" ca="1" si="300"/>
        <v>2.7103667421151201</v>
      </c>
      <c r="G652" s="306">
        <f t="shared" ca="1" si="301"/>
        <v>12.576817896305066</v>
      </c>
      <c r="H652" s="307">
        <f t="shared" ca="1" si="302"/>
        <v>-123.06027835293088</v>
      </c>
      <c r="I652" s="304">
        <f t="shared" ca="1" si="303"/>
        <v>123.70128720711701</v>
      </c>
      <c r="J652" s="306">
        <f t="shared" ca="1" si="304"/>
        <v>780.60585379989482</v>
      </c>
      <c r="K652" s="307">
        <f t="shared" ca="1" si="305"/>
        <v>-4.8197344142261747</v>
      </c>
      <c r="L652" s="304">
        <f t="shared" ca="1" si="290"/>
        <v>780.62073302371778</v>
      </c>
      <c r="M652" s="306">
        <f t="shared" ca="1" si="306"/>
        <v>-1.4689494722769232</v>
      </c>
      <c r="N652" s="304">
        <f t="shared" ca="1" si="307"/>
        <v>-84.164605079437223</v>
      </c>
      <c r="P652" s="310">
        <f t="shared" ca="1" si="308"/>
        <v>23</v>
      </c>
      <c r="Q652" s="304">
        <f t="shared" ca="1" si="309"/>
        <v>0</v>
      </c>
      <c r="R652" s="306">
        <f t="shared" ca="1" si="310"/>
        <v>0</v>
      </c>
      <c r="S652" s="307">
        <f t="shared" ca="1" si="311"/>
        <v>8.0499999999999989</v>
      </c>
      <c r="T652" s="304">
        <f t="shared" ca="1" si="291"/>
        <v>78.970499999999987</v>
      </c>
      <c r="U652" s="311">
        <f t="shared" ca="1" si="292"/>
        <v>0</v>
      </c>
      <c r="V652" s="306">
        <f t="shared" ca="1" si="293"/>
        <v>1.2255905597828081</v>
      </c>
      <c r="W652" s="304">
        <f t="shared" ca="1" si="294"/>
        <v>58.274174667929003</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2.5201751607652865</v>
      </c>
      <c r="AH652" s="304">
        <f t="shared" ca="1" si="318"/>
        <v>-7.2389895045211139</v>
      </c>
    </row>
    <row r="653" spans="1:34" x14ac:dyDescent="0.3">
      <c r="A653" s="347">
        <f t="shared" ca="1" si="296"/>
        <v>1E-4</v>
      </c>
      <c r="B653" s="304">
        <f t="shared" ca="1" si="297"/>
        <v>33.913000000000643</v>
      </c>
      <c r="D653" s="306">
        <f t="shared" ca="1" si="298"/>
        <v>-0.73599828921807198</v>
      </c>
      <c r="E653" s="307">
        <f t="shared" ca="1" si="299"/>
        <v>-2.6084840771952411</v>
      </c>
      <c r="F653" s="304">
        <f t="shared" ca="1" si="300"/>
        <v>2.7103288846029439</v>
      </c>
      <c r="G653" s="306">
        <f t="shared" ca="1" si="301"/>
        <v>12.576744296476145</v>
      </c>
      <c r="H653" s="307">
        <f t="shared" ca="1" si="302"/>
        <v>-123.0605392013386</v>
      </c>
      <c r="I653" s="304">
        <f t="shared" ca="1" si="303"/>
        <v>123.70153922091325</v>
      </c>
      <c r="J653" s="306">
        <f t="shared" ca="1" si="304"/>
        <v>780.60585379989482</v>
      </c>
      <c r="K653" s="307">
        <f t="shared" ca="1" si="305"/>
        <v>-4.832040455103888</v>
      </c>
      <c r="L653" s="304">
        <f t="shared" ca="1" si="290"/>
        <v>780.62080910107852</v>
      </c>
      <c r="M653" s="306">
        <f t="shared" ca="1" si="306"/>
        <v>-1.4689502785654085</v>
      </c>
      <c r="N653" s="304">
        <f t="shared" ca="1" si="307"/>
        <v>-84.164651276364509</v>
      </c>
      <c r="P653" s="310">
        <f t="shared" ca="1" si="308"/>
        <v>23</v>
      </c>
      <c r="Q653" s="304">
        <f t="shared" ca="1" si="309"/>
        <v>0</v>
      </c>
      <c r="R653" s="306">
        <f t="shared" ca="1" si="310"/>
        <v>0</v>
      </c>
      <c r="S653" s="307">
        <f t="shared" ca="1" si="311"/>
        <v>8.0499999999999989</v>
      </c>
      <c r="T653" s="304">
        <f t="shared" ca="1" si="291"/>
        <v>78.970499999999987</v>
      </c>
      <c r="U653" s="311">
        <f t="shared" ca="1" si="292"/>
        <v>0</v>
      </c>
      <c r="V653" s="306">
        <f t="shared" ca="1" si="293"/>
        <v>1.225592068000577</v>
      </c>
      <c r="W653" s="304">
        <f t="shared" ca="1" si="294"/>
        <v>58.274483822228852</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2.5201375604231435</v>
      </c>
      <c r="AH653" s="304">
        <f t="shared" ca="1" si="318"/>
        <v>-7.2390279090595042</v>
      </c>
    </row>
    <row r="654" spans="1:34" x14ac:dyDescent="0.3">
      <c r="A654" s="347">
        <f t="shared" ca="1" si="296"/>
        <v>1E-4</v>
      </c>
      <c r="B654" s="304">
        <f t="shared" ca="1" si="297"/>
        <v>33.913100000000647</v>
      </c>
      <c r="D654" s="306">
        <f t="shared" ca="1" si="298"/>
        <v>-0.73599638728240135</v>
      </c>
      <c r="E654" s="307">
        <f t="shared" ca="1" si="299"/>
        <v>-2.6084452785140337</v>
      </c>
      <c r="F654" s="304">
        <f t="shared" ca="1" si="300"/>
        <v>2.7102910273796983</v>
      </c>
      <c r="G654" s="306">
        <f t="shared" ca="1" si="301"/>
        <v>12.576670696837416</v>
      </c>
      <c r="H654" s="307">
        <f t="shared" ca="1" si="302"/>
        <v>-123.06080004586646</v>
      </c>
      <c r="I654" s="304">
        <f t="shared" ca="1" si="303"/>
        <v>123.7017912309495</v>
      </c>
      <c r="J654" s="306">
        <f t="shared" ca="1" si="304"/>
        <v>780.60585379989482</v>
      </c>
      <c r="K654" s="307">
        <f t="shared" ca="1" si="305"/>
        <v>-4.8443465220662487</v>
      </c>
      <c r="L654" s="304">
        <f t="shared" ca="1" si="290"/>
        <v>780.62088537259149</v>
      </c>
      <c r="M654" s="306">
        <f t="shared" ca="1" si="306"/>
        <v>-1.4689510848458902</v>
      </c>
      <c r="N654" s="304">
        <f t="shared" ca="1" si="307"/>
        <v>-84.164697472833211</v>
      </c>
      <c r="P654" s="310">
        <f t="shared" ca="1" si="308"/>
        <v>23</v>
      </c>
      <c r="Q654" s="304">
        <f t="shared" ca="1" si="309"/>
        <v>0</v>
      </c>
      <c r="R654" s="306">
        <f t="shared" ca="1" si="310"/>
        <v>0</v>
      </c>
      <c r="S654" s="307">
        <f t="shared" ca="1" si="311"/>
        <v>8.0499999999999989</v>
      </c>
      <c r="T654" s="304">
        <f t="shared" ca="1" si="291"/>
        <v>78.970499999999987</v>
      </c>
      <c r="U654" s="311">
        <f t="shared" ca="1" si="292"/>
        <v>0</v>
      </c>
      <c r="V654" s="306">
        <f t="shared" ca="1" si="293"/>
        <v>1.2255935762233987</v>
      </c>
      <c r="W654" s="304">
        <f t="shared" ca="1" si="294"/>
        <v>58.274792974294492</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2.5200999603442149</v>
      </c>
      <c r="AH654" s="304">
        <f t="shared" ca="1" si="318"/>
        <v>-7.2390663133203557</v>
      </c>
    </row>
    <row r="655" spans="1:34" x14ac:dyDescent="0.3">
      <c r="A655" s="347">
        <f t="shared" ca="1" si="296"/>
        <v>1E-4</v>
      </c>
      <c r="B655" s="304">
        <f t="shared" ca="1" si="297"/>
        <v>33.91320000000065</v>
      </c>
      <c r="D655" s="306">
        <f t="shared" ca="1" si="298"/>
        <v>-0.73599448531406453</v>
      </c>
      <c r="E655" s="307">
        <f t="shared" ca="1" si="299"/>
        <v>-2.6084064801132065</v>
      </c>
      <c r="F655" s="304">
        <f t="shared" ca="1" si="300"/>
        <v>2.7102531704453887</v>
      </c>
      <c r="G655" s="306">
        <f t="shared" ca="1" si="301"/>
        <v>12.576597097388884</v>
      </c>
      <c r="H655" s="307">
        <f t="shared" ca="1" si="302"/>
        <v>-123.06106088651447</v>
      </c>
      <c r="I655" s="304">
        <f t="shared" ca="1" si="303"/>
        <v>123.70204323722577</v>
      </c>
      <c r="J655" s="306">
        <f t="shared" ca="1" si="304"/>
        <v>780.60585379989482</v>
      </c>
      <c r="K655" s="307">
        <f t="shared" ca="1" si="305"/>
        <v>-4.8566526151128677</v>
      </c>
      <c r="L655" s="304">
        <f t="shared" ca="1" si="290"/>
        <v>780.6209618382577</v>
      </c>
      <c r="M655" s="306">
        <f t="shared" ca="1" si="306"/>
        <v>-1.4689518911183683</v>
      </c>
      <c r="N655" s="304">
        <f t="shared" ca="1" si="307"/>
        <v>-84.164743668843343</v>
      </c>
      <c r="P655" s="310">
        <f t="shared" ca="1" si="308"/>
        <v>23</v>
      </c>
      <c r="Q655" s="304">
        <f t="shared" ca="1" si="309"/>
        <v>0</v>
      </c>
      <c r="R655" s="306">
        <f t="shared" ca="1" si="310"/>
        <v>0</v>
      </c>
      <c r="S655" s="307">
        <f t="shared" ca="1" si="311"/>
        <v>8.0499999999999989</v>
      </c>
      <c r="T655" s="304">
        <f t="shared" ca="1" si="291"/>
        <v>78.970499999999987</v>
      </c>
      <c r="U655" s="311">
        <f t="shared" ca="1" si="292"/>
        <v>0</v>
      </c>
      <c r="V655" s="306">
        <f t="shared" ca="1" si="293"/>
        <v>1.2255950844512742</v>
      </c>
      <c r="W655" s="304">
        <f t="shared" ca="1" si="294"/>
        <v>58.275102124125937</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2.5200623605285006</v>
      </c>
      <c r="AH655" s="304">
        <f t="shared" ca="1" si="318"/>
        <v>-7.2391047173036647</v>
      </c>
    </row>
    <row r="656" spans="1:34" x14ac:dyDescent="0.3">
      <c r="A656" s="347">
        <f t="shared" ca="1" si="296"/>
        <v>1E-4</v>
      </c>
      <c r="B656" s="304">
        <f t="shared" ca="1" si="297"/>
        <v>33.913300000000653</v>
      </c>
      <c r="D656" s="306">
        <f t="shared" ca="1" si="298"/>
        <v>-0.73599258331306328</v>
      </c>
      <c r="E656" s="307">
        <f t="shared" ca="1" si="299"/>
        <v>-2.6083676819927577</v>
      </c>
      <c r="F656" s="304">
        <f t="shared" ca="1" si="300"/>
        <v>2.7102153138000142</v>
      </c>
      <c r="G656" s="306">
        <f t="shared" ca="1" si="301"/>
        <v>12.576523498130554</v>
      </c>
      <c r="H656" s="307">
        <f t="shared" ca="1" si="302"/>
        <v>-123.06132172328267</v>
      </c>
      <c r="I656" s="304">
        <f t="shared" ca="1" si="303"/>
        <v>123.70229523974207</v>
      </c>
      <c r="J656" s="306">
        <f t="shared" ca="1" si="304"/>
        <v>780.60585379989482</v>
      </c>
      <c r="K656" s="307">
        <f t="shared" ca="1" si="305"/>
        <v>-4.8689587342433578</v>
      </c>
      <c r="L656" s="304">
        <f t="shared" ca="1" si="290"/>
        <v>780.62103849807841</v>
      </c>
      <c r="M656" s="306">
        <f t="shared" ca="1" si="306"/>
        <v>-1.4689526973828433</v>
      </c>
      <c r="N656" s="304">
        <f t="shared" ca="1" si="307"/>
        <v>-84.164789864394933</v>
      </c>
      <c r="P656" s="310">
        <f t="shared" ca="1" si="308"/>
        <v>23</v>
      </c>
      <c r="Q656" s="304">
        <f t="shared" ca="1" si="309"/>
        <v>0</v>
      </c>
      <c r="R656" s="306">
        <f t="shared" ca="1" si="310"/>
        <v>0</v>
      </c>
      <c r="S656" s="307">
        <f t="shared" ca="1" si="311"/>
        <v>8.0499999999999989</v>
      </c>
      <c r="T656" s="304">
        <f t="shared" ca="1" si="291"/>
        <v>78.970499999999987</v>
      </c>
      <c r="U656" s="311">
        <f t="shared" ca="1" si="292"/>
        <v>0</v>
      </c>
      <c r="V656" s="306">
        <f t="shared" ca="1" si="293"/>
        <v>1.2255965926842032</v>
      </c>
      <c r="W656" s="304">
        <f t="shared" ca="1" si="294"/>
        <v>58.275411271723165</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2.520024760975998</v>
      </c>
      <c r="AH656" s="304">
        <f t="shared" ca="1" si="318"/>
        <v>-7.2391431210094339</v>
      </c>
    </row>
    <row r="657" spans="1:34" x14ac:dyDescent="0.3">
      <c r="A657" s="347">
        <f t="shared" ca="1" si="296"/>
        <v>1E-4</v>
      </c>
      <c r="B657" s="304">
        <f t="shared" ca="1" si="297"/>
        <v>33.913400000000657</v>
      </c>
      <c r="D657" s="306">
        <f t="shared" ca="1" si="298"/>
        <v>-0.73599068127939593</v>
      </c>
      <c r="E657" s="307">
        <f t="shared" ca="1" si="299"/>
        <v>-2.6083288841526882</v>
      </c>
      <c r="F657" s="304">
        <f t="shared" ca="1" si="300"/>
        <v>2.710177457443574</v>
      </c>
      <c r="G657" s="306">
        <f t="shared" ca="1" si="301"/>
        <v>12.576449899062426</v>
      </c>
      <c r="H657" s="307">
        <f t="shared" ca="1" si="302"/>
        <v>-123.06158255617109</v>
      </c>
      <c r="I657" s="304">
        <f t="shared" ca="1" si="303"/>
        <v>123.70254723849845</v>
      </c>
      <c r="J657" s="306">
        <f t="shared" ca="1" si="304"/>
        <v>780.60585379989482</v>
      </c>
      <c r="K657" s="307">
        <f t="shared" ca="1" si="305"/>
        <v>-4.8812648794573308</v>
      </c>
      <c r="L657" s="304">
        <f t="shared" ca="1" si="290"/>
        <v>780.62111535205486</v>
      </c>
      <c r="M657" s="306">
        <f t="shared" ca="1" si="306"/>
        <v>-1.4689535036393147</v>
      </c>
      <c r="N657" s="304">
        <f t="shared" ca="1" si="307"/>
        <v>-84.164836059487939</v>
      </c>
      <c r="P657" s="310">
        <f t="shared" ca="1" si="308"/>
        <v>23</v>
      </c>
      <c r="Q657" s="304">
        <f t="shared" ca="1" si="309"/>
        <v>0</v>
      </c>
      <c r="R657" s="306">
        <f t="shared" ca="1" si="310"/>
        <v>0</v>
      </c>
      <c r="S657" s="307">
        <f t="shared" ca="1" si="311"/>
        <v>8.0499999999999989</v>
      </c>
      <c r="T657" s="304">
        <f t="shared" ca="1" si="291"/>
        <v>78.970499999999987</v>
      </c>
      <c r="U657" s="311">
        <f t="shared" ca="1" si="292"/>
        <v>0</v>
      </c>
      <c r="V657" s="306">
        <f t="shared" ca="1" si="293"/>
        <v>1.2255981009221848</v>
      </c>
      <c r="W657" s="304">
        <f t="shared" ca="1" si="294"/>
        <v>58.275720417086156</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2.5199871616867124</v>
      </c>
      <c r="AH657" s="304">
        <f t="shared" ca="1" si="318"/>
        <v>-7.2391815244376616</v>
      </c>
    </row>
    <row r="658" spans="1:34" x14ac:dyDescent="0.3">
      <c r="A658" s="347">
        <f t="shared" ca="1" si="296"/>
        <v>1E-4</v>
      </c>
      <c r="B658" s="304">
        <f t="shared" ca="1" si="297"/>
        <v>33.91350000000066</v>
      </c>
      <c r="D658" s="306">
        <f t="shared" ca="1" si="298"/>
        <v>-0.7359887792130666</v>
      </c>
      <c r="E658" s="307">
        <f t="shared" ca="1" si="299"/>
        <v>-2.6082900865930014</v>
      </c>
      <c r="F658" s="304">
        <f t="shared" ca="1" si="300"/>
        <v>2.7101396013760741</v>
      </c>
      <c r="G658" s="306">
        <f t="shared" ca="1" si="301"/>
        <v>12.576376300184505</v>
      </c>
      <c r="H658" s="307">
        <f t="shared" ca="1" si="302"/>
        <v>-123.06184338517974</v>
      </c>
      <c r="I658" s="304">
        <f t="shared" ca="1" si="303"/>
        <v>123.70279923349491</v>
      </c>
      <c r="J658" s="306">
        <f t="shared" ca="1" si="304"/>
        <v>780.60585379989482</v>
      </c>
      <c r="K658" s="307">
        <f t="shared" ca="1" si="305"/>
        <v>-4.8935710507543986</v>
      </c>
      <c r="L658" s="304">
        <f t="shared" ca="1" si="290"/>
        <v>780.62119240018808</v>
      </c>
      <c r="M658" s="306">
        <f t="shared" ca="1" si="306"/>
        <v>-1.4689543098877831</v>
      </c>
      <c r="N658" s="304">
        <f t="shared" ca="1" si="307"/>
        <v>-84.164882254122418</v>
      </c>
      <c r="P658" s="310">
        <f t="shared" ca="1" si="308"/>
        <v>23</v>
      </c>
      <c r="Q658" s="304">
        <f t="shared" ca="1" si="309"/>
        <v>0</v>
      </c>
      <c r="R658" s="306">
        <f t="shared" ca="1" si="310"/>
        <v>0</v>
      </c>
      <c r="S658" s="307">
        <f t="shared" ca="1" si="311"/>
        <v>8.0499999999999989</v>
      </c>
      <c r="T658" s="304">
        <f t="shared" ca="1" si="291"/>
        <v>78.970499999999987</v>
      </c>
      <c r="U658" s="311">
        <f t="shared" ca="1" si="292"/>
        <v>0</v>
      </c>
      <c r="V658" s="306">
        <f t="shared" ca="1" si="293"/>
        <v>1.2255996091652201</v>
      </c>
      <c r="W658" s="304">
        <f t="shared" ca="1" si="294"/>
        <v>58.276029560214901</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2.5199495626606447</v>
      </c>
      <c r="AH658" s="304">
        <f t="shared" ca="1" si="318"/>
        <v>-7.2392199275883433</v>
      </c>
    </row>
    <row r="659" spans="1:34" x14ac:dyDescent="0.3">
      <c r="A659" s="347">
        <f t="shared" ca="1" si="296"/>
        <v>1E-4</v>
      </c>
      <c r="B659" s="304">
        <f t="shared" ca="1" si="297"/>
        <v>33.913600000000663</v>
      </c>
      <c r="D659" s="306">
        <f t="shared" ca="1" si="298"/>
        <v>-0.73598687711407229</v>
      </c>
      <c r="E659" s="307">
        <f t="shared" ca="1" si="299"/>
        <v>-2.6082512893137002</v>
      </c>
      <c r="F659" s="304">
        <f t="shared" ca="1" si="300"/>
        <v>2.710101745597516</v>
      </c>
      <c r="G659" s="306">
        <f t="shared" ca="1" si="301"/>
        <v>12.576302701496793</v>
      </c>
      <c r="H659" s="307">
        <f t="shared" ca="1" si="302"/>
        <v>-123.06210421030868</v>
      </c>
      <c r="I659" s="304">
        <f t="shared" ca="1" si="303"/>
        <v>123.70305122473151</v>
      </c>
      <c r="J659" s="306">
        <f t="shared" ca="1" si="304"/>
        <v>780.60585379989482</v>
      </c>
      <c r="K659" s="307">
        <f t="shared" ca="1" si="305"/>
        <v>-4.905877248134173</v>
      </c>
      <c r="L659" s="304">
        <f t="shared" ca="1" si="290"/>
        <v>780.62126964247932</v>
      </c>
      <c r="M659" s="306">
        <f t="shared" ca="1" si="306"/>
        <v>-1.4689551161282484</v>
      </c>
      <c r="N659" s="304">
        <f t="shared" ca="1" si="307"/>
        <v>-84.164928448298355</v>
      </c>
      <c r="P659" s="310">
        <f t="shared" ca="1" si="308"/>
        <v>23</v>
      </c>
      <c r="Q659" s="304">
        <f t="shared" ca="1" si="309"/>
        <v>0</v>
      </c>
      <c r="R659" s="306">
        <f t="shared" ca="1" si="310"/>
        <v>0</v>
      </c>
      <c r="S659" s="307">
        <f t="shared" ca="1" si="311"/>
        <v>8.0499999999999989</v>
      </c>
      <c r="T659" s="304">
        <f t="shared" ca="1" si="291"/>
        <v>78.970499999999987</v>
      </c>
      <c r="U659" s="311">
        <f t="shared" ca="1" si="292"/>
        <v>0</v>
      </c>
      <c r="V659" s="306">
        <f t="shared" ca="1" si="293"/>
        <v>1.2256011174133086</v>
      </c>
      <c r="W659" s="304">
        <f t="shared" ca="1" si="294"/>
        <v>58.276338701109424</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2.5199119638977985</v>
      </c>
      <c r="AH659" s="304">
        <f t="shared" ca="1" si="318"/>
        <v>-7.239258330461479</v>
      </c>
    </row>
    <row r="660" spans="1:34" x14ac:dyDescent="0.3">
      <c r="A660" s="347">
        <f t="shared" ca="1" si="296"/>
        <v>1E-4</v>
      </c>
      <c r="B660" s="304">
        <f t="shared" ca="1" si="297"/>
        <v>33.913700000000667</v>
      </c>
      <c r="D660" s="306">
        <f t="shared" ca="1" si="298"/>
        <v>-0.73598497498241655</v>
      </c>
      <c r="E660" s="307">
        <f t="shared" ca="1" si="299"/>
        <v>-2.6082124923147783</v>
      </c>
      <c r="F660" s="304">
        <f t="shared" ca="1" si="300"/>
        <v>2.7100638901078948</v>
      </c>
      <c r="G660" s="306">
        <f t="shared" ca="1" si="301"/>
        <v>12.576229102999294</v>
      </c>
      <c r="H660" s="307">
        <f t="shared" ca="1" si="302"/>
        <v>-123.0623650315579</v>
      </c>
      <c r="I660" s="304">
        <f t="shared" ca="1" si="303"/>
        <v>123.70330321220824</v>
      </c>
      <c r="J660" s="306">
        <f t="shared" ca="1" si="304"/>
        <v>780.60585379989482</v>
      </c>
      <c r="K660" s="307">
        <f t="shared" ca="1" si="305"/>
        <v>-4.918183471596266</v>
      </c>
      <c r="L660" s="304">
        <f t="shared" ca="1" si="290"/>
        <v>780.62134707892983</v>
      </c>
      <c r="M660" s="306">
        <f t="shared" ca="1" si="306"/>
        <v>-1.4689559223607109</v>
      </c>
      <c r="N660" s="304">
        <f t="shared" ca="1" si="307"/>
        <v>-84.164974642015764</v>
      </c>
      <c r="P660" s="310">
        <f t="shared" ca="1" si="308"/>
        <v>23</v>
      </c>
      <c r="Q660" s="304">
        <f t="shared" ca="1" si="309"/>
        <v>0</v>
      </c>
      <c r="R660" s="306">
        <f t="shared" ca="1" si="310"/>
        <v>0</v>
      </c>
      <c r="S660" s="307">
        <f t="shared" ca="1" si="311"/>
        <v>8.0499999999999989</v>
      </c>
      <c r="T660" s="304">
        <f t="shared" ca="1" si="291"/>
        <v>78.970499999999987</v>
      </c>
      <c r="U660" s="311">
        <f t="shared" ca="1" si="292"/>
        <v>0</v>
      </c>
      <c r="V660" s="306">
        <f t="shared" ca="1" si="293"/>
        <v>1.2256026256664503</v>
      </c>
      <c r="W660" s="304">
        <f t="shared" ca="1" si="294"/>
        <v>58.276647839769687</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2.5198743653981683</v>
      </c>
      <c r="AH660" s="304">
        <f t="shared" ca="1" si="318"/>
        <v>-7.2392967330570723</v>
      </c>
    </row>
    <row r="661" spans="1:34" x14ac:dyDescent="0.3">
      <c r="A661" s="347">
        <f t="shared" ca="1" si="296"/>
        <v>1E-4</v>
      </c>
      <c r="B661" s="304">
        <f t="shared" ca="1" si="297"/>
        <v>33.91380000000067</v>
      </c>
      <c r="D661" s="306">
        <f t="shared" ca="1" si="298"/>
        <v>-0.73598307281809705</v>
      </c>
      <c r="E661" s="307">
        <f t="shared" ca="1" si="299"/>
        <v>-2.6081736955962418</v>
      </c>
      <c r="F661" s="304">
        <f t="shared" ca="1" si="300"/>
        <v>2.7100260349072158</v>
      </c>
      <c r="G661" s="306">
        <f t="shared" ca="1" si="301"/>
        <v>12.576155504692013</v>
      </c>
      <c r="H661" s="307">
        <f t="shared" ca="1" si="302"/>
        <v>-123.06262584892747</v>
      </c>
      <c r="I661" s="304">
        <f t="shared" ca="1" si="303"/>
        <v>123.70355519592518</v>
      </c>
      <c r="J661" s="306">
        <f t="shared" ca="1" si="304"/>
        <v>780.60585379989482</v>
      </c>
      <c r="K661" s="307">
        <f t="shared" ca="1" si="305"/>
        <v>-4.9304897211402903</v>
      </c>
      <c r="L661" s="304">
        <f t="shared" ca="1" si="290"/>
        <v>780.62142470954063</v>
      </c>
      <c r="M661" s="306">
        <f t="shared" ca="1" si="306"/>
        <v>-1.4689567285851706</v>
      </c>
      <c r="N661" s="304">
        <f t="shared" ca="1" si="307"/>
        <v>-84.165020835274646</v>
      </c>
      <c r="P661" s="310">
        <f t="shared" ca="1" si="308"/>
        <v>23</v>
      </c>
      <c r="Q661" s="304">
        <f t="shared" ca="1" si="309"/>
        <v>0</v>
      </c>
      <c r="R661" s="306">
        <f t="shared" ca="1" si="310"/>
        <v>0</v>
      </c>
      <c r="S661" s="307">
        <f t="shared" ca="1" si="311"/>
        <v>8.0499999999999989</v>
      </c>
      <c r="T661" s="304">
        <f t="shared" ca="1" si="291"/>
        <v>78.970499999999987</v>
      </c>
      <c r="U661" s="311">
        <f t="shared" ca="1" si="292"/>
        <v>0</v>
      </c>
      <c r="V661" s="306">
        <f t="shared" ca="1" si="293"/>
        <v>1.2256041339246451</v>
      </c>
      <c r="W661" s="304">
        <f t="shared" ca="1" si="294"/>
        <v>58.276956976195734</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2.5198367671617641</v>
      </c>
      <c r="AH661" s="304">
        <f t="shared" ca="1" si="318"/>
        <v>-7.239335135375117</v>
      </c>
    </row>
    <row r="662" spans="1:34" x14ac:dyDescent="0.3">
      <c r="A662" s="347">
        <f t="shared" ca="1" si="296"/>
        <v>1E-4</v>
      </c>
      <c r="B662" s="304">
        <f t="shared" ca="1" si="297"/>
        <v>33.913900000000673</v>
      </c>
      <c r="D662" s="306">
        <f t="shared" ca="1" si="298"/>
        <v>-0.73598117062111779</v>
      </c>
      <c r="E662" s="307">
        <f t="shared" ca="1" si="299"/>
        <v>-2.6081348991580855</v>
      </c>
      <c r="F662" s="304">
        <f t="shared" ca="1" si="300"/>
        <v>2.709988179995475</v>
      </c>
      <c r="G662" s="306">
        <f t="shared" ca="1" si="301"/>
        <v>12.576081906574951</v>
      </c>
      <c r="H662" s="307">
        <f t="shared" ca="1" si="302"/>
        <v>-123.06288666241738</v>
      </c>
      <c r="I662" s="304">
        <f t="shared" ca="1" si="303"/>
        <v>123.70380717588229</v>
      </c>
      <c r="J662" s="306">
        <f t="shared" ca="1" si="304"/>
        <v>780.60585379989482</v>
      </c>
      <c r="K662" s="307">
        <f t="shared" ca="1" si="305"/>
        <v>-4.9427959967658577</v>
      </c>
      <c r="L662" s="304">
        <f t="shared" ca="1" si="290"/>
        <v>780.62150253431298</v>
      </c>
      <c r="M662" s="306">
        <f t="shared" ca="1" si="306"/>
        <v>-1.4689575348016275</v>
      </c>
      <c r="N662" s="304">
        <f t="shared" ca="1" si="307"/>
        <v>-84.165067028075001</v>
      </c>
      <c r="P662" s="310">
        <f t="shared" ca="1" si="308"/>
        <v>23</v>
      </c>
      <c r="Q662" s="304">
        <f t="shared" ca="1" si="309"/>
        <v>0</v>
      </c>
      <c r="R662" s="306">
        <f t="shared" ca="1" si="310"/>
        <v>0</v>
      </c>
      <c r="S662" s="307">
        <f t="shared" ca="1" si="311"/>
        <v>8.0499999999999989</v>
      </c>
      <c r="T662" s="304">
        <f t="shared" ca="1" si="291"/>
        <v>78.970499999999987</v>
      </c>
      <c r="U662" s="311">
        <f t="shared" ca="1" si="292"/>
        <v>0</v>
      </c>
      <c r="V662" s="306">
        <f t="shared" ca="1" si="293"/>
        <v>1.2256056421878929</v>
      </c>
      <c r="W662" s="304">
        <f t="shared" ca="1" si="294"/>
        <v>58.277266110387494</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2.519799169188575</v>
      </c>
      <c r="AH662" s="304">
        <f t="shared" ca="1" si="318"/>
        <v>-7.2393735374156201</v>
      </c>
    </row>
    <row r="663" spans="1:34" x14ac:dyDescent="0.3">
      <c r="A663" s="347">
        <f t="shared" ca="1" si="296"/>
        <v>1E-4</v>
      </c>
      <c r="B663" s="304">
        <f t="shared" ca="1" si="297"/>
        <v>33.914000000000676</v>
      </c>
      <c r="D663" s="306">
        <f t="shared" ca="1" si="298"/>
        <v>-0.73597926839147754</v>
      </c>
      <c r="E663" s="307">
        <f t="shared" ca="1" si="299"/>
        <v>-2.6080961030003191</v>
      </c>
      <c r="F663" s="304">
        <f t="shared" ca="1" si="300"/>
        <v>2.7099503253726822</v>
      </c>
      <c r="G663" s="306">
        <f t="shared" ca="1" si="301"/>
        <v>12.576008308648111</v>
      </c>
      <c r="H663" s="307">
        <f t="shared" ca="1" si="302"/>
        <v>-123.06314747202768</v>
      </c>
      <c r="I663" s="304">
        <f t="shared" ca="1" si="303"/>
        <v>123.70405915207964</v>
      </c>
      <c r="J663" s="306">
        <f t="shared" ca="1" si="304"/>
        <v>780.60585379989482</v>
      </c>
      <c r="K663" s="307">
        <f t="shared" ca="1" si="305"/>
        <v>-4.9551022984725801</v>
      </c>
      <c r="L663" s="304">
        <f t="shared" ca="1" si="290"/>
        <v>780.62158055324801</v>
      </c>
      <c r="M663" s="306">
        <f t="shared" ca="1" si="306"/>
        <v>-1.4689583410100819</v>
      </c>
      <c r="N663" s="304">
        <f t="shared" ca="1" si="307"/>
        <v>-84.165113220416856</v>
      </c>
      <c r="P663" s="310">
        <f t="shared" ca="1" si="308"/>
        <v>23</v>
      </c>
      <c r="Q663" s="304">
        <f t="shared" ca="1" si="309"/>
        <v>0</v>
      </c>
      <c r="R663" s="306">
        <f t="shared" ca="1" si="310"/>
        <v>0</v>
      </c>
      <c r="S663" s="307">
        <f t="shared" ca="1" si="311"/>
        <v>8.0499999999999989</v>
      </c>
      <c r="T663" s="304">
        <f t="shared" ca="1" si="291"/>
        <v>78.970499999999987</v>
      </c>
      <c r="U663" s="311">
        <f t="shared" ca="1" si="292"/>
        <v>0</v>
      </c>
      <c r="V663" s="306">
        <f t="shared" ca="1" si="293"/>
        <v>1.2256071504561943</v>
      </c>
      <c r="W663" s="304">
        <f t="shared" ca="1" si="294"/>
        <v>58.277575242345002</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2.519761571478611</v>
      </c>
      <c r="AH663" s="304">
        <f t="shared" ca="1" si="318"/>
        <v>-7.2394119391785718</v>
      </c>
    </row>
    <row r="664" spans="1:34" x14ac:dyDescent="0.3">
      <c r="A664" s="347">
        <f t="shared" ca="1" si="296"/>
        <v>1E-4</v>
      </c>
      <c r="B664" s="304">
        <f t="shared" ca="1" si="297"/>
        <v>33.91410000000068</v>
      </c>
      <c r="D664" s="306">
        <f t="shared" ca="1" si="298"/>
        <v>-0.73597736612917708</v>
      </c>
      <c r="E664" s="307">
        <f t="shared" ca="1" si="299"/>
        <v>-2.6080573071229374</v>
      </c>
      <c r="F664" s="304">
        <f t="shared" ca="1" si="300"/>
        <v>2.709912471038832</v>
      </c>
      <c r="G664" s="306">
        <f t="shared" ca="1" si="301"/>
        <v>12.575934710911499</v>
      </c>
      <c r="H664" s="307">
        <f t="shared" ca="1" si="302"/>
        <v>-123.0634082777584</v>
      </c>
      <c r="I664" s="304">
        <f t="shared" ca="1" si="303"/>
        <v>123.70431112451725</v>
      </c>
      <c r="J664" s="306">
        <f t="shared" ca="1" si="304"/>
        <v>780.60585379989482</v>
      </c>
      <c r="K664" s="307">
        <f t="shared" ca="1" si="305"/>
        <v>-4.9674086262600694</v>
      </c>
      <c r="L664" s="304">
        <f t="shared" ca="1" si="290"/>
        <v>780.62165876634685</v>
      </c>
      <c r="M664" s="306">
        <f t="shared" ca="1" si="306"/>
        <v>-1.4689591472105339</v>
      </c>
      <c r="N664" s="304">
        <f t="shared" ca="1" si="307"/>
        <v>-84.165159412300184</v>
      </c>
      <c r="P664" s="310">
        <f t="shared" ca="1" si="308"/>
        <v>23</v>
      </c>
      <c r="Q664" s="304">
        <f t="shared" ca="1" si="309"/>
        <v>0</v>
      </c>
      <c r="R664" s="306">
        <f t="shared" ca="1" si="310"/>
        <v>0</v>
      </c>
      <c r="S664" s="307">
        <f t="shared" ca="1" si="311"/>
        <v>8.0499999999999989</v>
      </c>
      <c r="T664" s="304">
        <f t="shared" ca="1" si="291"/>
        <v>78.970499999999987</v>
      </c>
      <c r="U664" s="311">
        <f t="shared" ca="1" si="292"/>
        <v>0</v>
      </c>
      <c r="V664" s="306">
        <f t="shared" ca="1" si="293"/>
        <v>1.2256086587295483</v>
      </c>
      <c r="W664" s="304">
        <f t="shared" ca="1" si="294"/>
        <v>58.277884372068236</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2.5197239740318729</v>
      </c>
      <c r="AH664" s="304">
        <f t="shared" ca="1" si="318"/>
        <v>-7.2394503406639767</v>
      </c>
    </row>
    <row r="665" spans="1:34" x14ac:dyDescent="0.3">
      <c r="A665" s="347">
        <f t="shared" ca="1" si="296"/>
        <v>1E-4</v>
      </c>
      <c r="B665" s="304">
        <f t="shared" ca="1" si="297"/>
        <v>33.914200000000683</v>
      </c>
      <c r="D665" s="306">
        <f t="shared" ca="1" si="298"/>
        <v>-0.73597546383421752</v>
      </c>
      <c r="E665" s="307">
        <f t="shared" ca="1" si="299"/>
        <v>-2.6080185115259438</v>
      </c>
      <c r="F665" s="304">
        <f t="shared" ca="1" si="300"/>
        <v>2.7098746169939285</v>
      </c>
      <c r="G665" s="306">
        <f t="shared" ca="1" si="301"/>
        <v>12.575861113365116</v>
      </c>
      <c r="H665" s="307">
        <f t="shared" ca="1" si="302"/>
        <v>-123.06366907960955</v>
      </c>
      <c r="I665" s="304">
        <f t="shared" ca="1" si="303"/>
        <v>123.70456309319515</v>
      </c>
      <c r="J665" s="306">
        <f t="shared" ca="1" si="304"/>
        <v>780.60585379989482</v>
      </c>
      <c r="K665" s="307">
        <f t="shared" ca="1" si="305"/>
        <v>-4.9797149801279375</v>
      </c>
      <c r="L665" s="304">
        <f t="shared" ca="1" si="290"/>
        <v>780.62173717361088</v>
      </c>
      <c r="M665" s="306">
        <f t="shared" ca="1" si="306"/>
        <v>-1.4689599534029836</v>
      </c>
      <c r="N665" s="304">
        <f t="shared" ca="1" si="307"/>
        <v>-84.165205603725028</v>
      </c>
      <c r="P665" s="310">
        <f t="shared" ca="1" si="308"/>
        <v>23</v>
      </c>
      <c r="Q665" s="304">
        <f t="shared" ca="1" si="309"/>
        <v>0</v>
      </c>
      <c r="R665" s="306">
        <f t="shared" ca="1" si="310"/>
        <v>0</v>
      </c>
      <c r="S665" s="307">
        <f t="shared" ca="1" si="311"/>
        <v>8.0499999999999989</v>
      </c>
      <c r="T665" s="304">
        <f t="shared" ca="1" si="291"/>
        <v>78.970499999999987</v>
      </c>
      <c r="U665" s="311">
        <f t="shared" ca="1" si="292"/>
        <v>0</v>
      </c>
      <c r="V665" s="306">
        <f t="shared" ca="1" si="293"/>
        <v>1.2256101670079551</v>
      </c>
      <c r="W665" s="304">
        <f t="shared" ca="1" si="294"/>
        <v>58.278193499557197</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2.5196863768483571</v>
      </c>
      <c r="AH665" s="304">
        <f t="shared" ca="1" si="318"/>
        <v>-7.2394887418718312</v>
      </c>
    </row>
    <row r="666" spans="1:34" x14ac:dyDescent="0.3">
      <c r="A666" s="347">
        <f t="shared" ca="1" si="296"/>
        <v>1E-4</v>
      </c>
      <c r="B666" s="304">
        <f t="shared" ca="1" si="297"/>
        <v>33.914300000000686</v>
      </c>
      <c r="D666" s="306">
        <f t="shared" ca="1" si="298"/>
        <v>-0.73597356150659898</v>
      </c>
      <c r="E666" s="307">
        <f t="shared" ca="1" si="299"/>
        <v>-2.6079797162093357</v>
      </c>
      <c r="F666" s="304">
        <f t="shared" ca="1" si="300"/>
        <v>2.7098367632379694</v>
      </c>
      <c r="G666" s="306">
        <f t="shared" ca="1" si="301"/>
        <v>12.575787516008965</v>
      </c>
      <c r="H666" s="307">
        <f t="shared" ca="1" si="302"/>
        <v>-123.06392987758117</v>
      </c>
      <c r="I666" s="304">
        <f t="shared" ca="1" si="303"/>
        <v>123.70481505811334</v>
      </c>
      <c r="J666" s="306">
        <f t="shared" ca="1" si="304"/>
        <v>780.60585379989482</v>
      </c>
      <c r="K666" s="307">
        <f t="shared" ca="1" si="305"/>
        <v>-4.992021360075797</v>
      </c>
      <c r="L666" s="304">
        <f t="shared" ca="1" si="290"/>
        <v>780.62181577504111</v>
      </c>
      <c r="M666" s="306">
        <f t="shared" ca="1" si="306"/>
        <v>-1.468960759587431</v>
      </c>
      <c r="N666" s="304">
        <f t="shared" ca="1" si="307"/>
        <v>-84.165251794691372</v>
      </c>
      <c r="P666" s="310">
        <f t="shared" ca="1" si="308"/>
        <v>23</v>
      </c>
      <c r="Q666" s="304">
        <f t="shared" ca="1" si="309"/>
        <v>0</v>
      </c>
      <c r="R666" s="306">
        <f t="shared" ca="1" si="310"/>
        <v>0</v>
      </c>
      <c r="S666" s="307">
        <f t="shared" ca="1" si="311"/>
        <v>8.0499999999999989</v>
      </c>
      <c r="T666" s="304">
        <f t="shared" ca="1" si="291"/>
        <v>78.970499999999987</v>
      </c>
      <c r="U666" s="311">
        <f t="shared" ca="1" si="292"/>
        <v>0</v>
      </c>
      <c r="V666" s="306">
        <f t="shared" ca="1" si="293"/>
        <v>1.2256116752914152</v>
      </c>
      <c r="W666" s="304">
        <f t="shared" ca="1" si="294"/>
        <v>58.278502624811857</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2.5196487799280689</v>
      </c>
      <c r="AH666" s="304">
        <f t="shared" ca="1" si="318"/>
        <v>-7.239527142802137</v>
      </c>
    </row>
    <row r="667" spans="1:34" x14ac:dyDescent="0.3">
      <c r="A667" s="347">
        <f t="shared" ca="1" si="296"/>
        <v>1E-4</v>
      </c>
      <c r="B667" s="304">
        <f t="shared" ca="1" si="297"/>
        <v>33.91440000000069</v>
      </c>
      <c r="D667" s="306">
        <f t="shared" ca="1" si="298"/>
        <v>-0.73597165914632257</v>
      </c>
      <c r="E667" s="307">
        <f t="shared" ca="1" si="299"/>
        <v>-2.6079409211731193</v>
      </c>
      <c r="F667" s="304">
        <f t="shared" ca="1" si="300"/>
        <v>2.7097989097709609</v>
      </c>
      <c r="G667" s="306">
        <f t="shared" ca="1" si="301"/>
        <v>12.57571391884305</v>
      </c>
      <c r="H667" s="307">
        <f t="shared" ca="1" si="302"/>
        <v>-123.06419067167329</v>
      </c>
      <c r="I667" s="304">
        <f t="shared" ca="1" si="303"/>
        <v>123.70506701927185</v>
      </c>
      <c r="J667" s="306">
        <f t="shared" ca="1" si="304"/>
        <v>780.60585379989482</v>
      </c>
      <c r="K667" s="307">
        <f t="shared" ca="1" si="305"/>
        <v>-5.0043277661032599</v>
      </c>
      <c r="L667" s="304">
        <f t="shared" ca="1" si="290"/>
        <v>780.62189457063869</v>
      </c>
      <c r="M667" s="306">
        <f t="shared" ca="1" si="306"/>
        <v>-1.4689615657638764</v>
      </c>
      <c r="N667" s="304">
        <f t="shared" ca="1" si="307"/>
        <v>-84.165297985199246</v>
      </c>
      <c r="P667" s="310">
        <f t="shared" ca="1" si="308"/>
        <v>23</v>
      </c>
      <c r="Q667" s="304">
        <f t="shared" ca="1" si="309"/>
        <v>0</v>
      </c>
      <c r="R667" s="306">
        <f t="shared" ca="1" si="310"/>
        <v>0</v>
      </c>
      <c r="S667" s="307">
        <f t="shared" ca="1" si="311"/>
        <v>8.0499999999999989</v>
      </c>
      <c r="T667" s="304">
        <f t="shared" ca="1" si="291"/>
        <v>78.970499999999987</v>
      </c>
      <c r="U667" s="311">
        <f t="shared" ca="1" si="292"/>
        <v>0</v>
      </c>
      <c r="V667" s="306">
        <f t="shared" ca="1" si="293"/>
        <v>1.2256131835799284</v>
      </c>
      <c r="W667" s="304">
        <f t="shared" ca="1" si="294"/>
        <v>58.278811747832229</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2.5196111832710093</v>
      </c>
      <c r="AH667" s="304">
        <f t="shared" ca="1" si="318"/>
        <v>-7.2395655434548898</v>
      </c>
    </row>
    <row r="668" spans="1:34" x14ac:dyDescent="0.3">
      <c r="A668" s="347">
        <f t="shared" ca="1" si="296"/>
        <v>1E-4</v>
      </c>
      <c r="B668" s="304">
        <f t="shared" ca="1" si="297"/>
        <v>33.914500000000693</v>
      </c>
      <c r="D668" s="306">
        <f t="shared" ca="1" si="298"/>
        <v>-0.7359697567533886</v>
      </c>
      <c r="E668" s="307">
        <f t="shared" ca="1" si="299"/>
        <v>-2.6079021264172919</v>
      </c>
      <c r="F668" s="304">
        <f t="shared" ca="1" si="300"/>
        <v>2.7097610565929009</v>
      </c>
      <c r="G668" s="306">
        <f t="shared" ca="1" si="301"/>
        <v>12.575640321867375</v>
      </c>
      <c r="H668" s="307">
        <f t="shared" ca="1" si="302"/>
        <v>-123.06445146188592</v>
      </c>
      <c r="I668" s="304">
        <f t="shared" ca="1" si="303"/>
        <v>123.70531897667074</v>
      </c>
      <c r="J668" s="306">
        <f t="shared" ca="1" si="304"/>
        <v>780.60585379989482</v>
      </c>
      <c r="K668" s="307">
        <f t="shared" ca="1" si="305"/>
        <v>-5.0166341982099381</v>
      </c>
      <c r="L668" s="304">
        <f t="shared" ca="1" si="290"/>
        <v>780.62197356040474</v>
      </c>
      <c r="M668" s="306">
        <f t="shared" ca="1" si="306"/>
        <v>-1.4689623719323199</v>
      </c>
      <c r="N668" s="304">
        <f t="shared" ca="1" si="307"/>
        <v>-84.165344175248634</v>
      </c>
      <c r="P668" s="310">
        <f t="shared" ca="1" si="308"/>
        <v>23</v>
      </c>
      <c r="Q668" s="304">
        <f t="shared" ca="1" si="309"/>
        <v>0</v>
      </c>
      <c r="R668" s="306">
        <f t="shared" ca="1" si="310"/>
        <v>0</v>
      </c>
      <c r="S668" s="307">
        <f t="shared" ca="1" si="311"/>
        <v>8.0499999999999989</v>
      </c>
      <c r="T668" s="304">
        <f t="shared" ca="1" si="291"/>
        <v>78.970499999999987</v>
      </c>
      <c r="U668" s="311">
        <f t="shared" ca="1" si="292"/>
        <v>0</v>
      </c>
      <c r="V668" s="306">
        <f t="shared" ca="1" si="293"/>
        <v>1.2256146918734947</v>
      </c>
      <c r="W668" s="304">
        <f t="shared" ca="1" si="294"/>
        <v>58.279120868618307</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2.5195735868771783</v>
      </c>
      <c r="AH668" s="304">
        <f t="shared" ca="1" si="318"/>
        <v>-7.2396039438300912</v>
      </c>
    </row>
    <row r="669" spans="1:34" x14ac:dyDescent="0.3">
      <c r="A669" s="347">
        <f t="shared" ca="1" si="296"/>
        <v>1E-4</v>
      </c>
      <c r="B669" s="304">
        <f t="shared" ca="1" si="297"/>
        <v>33.914600000000696</v>
      </c>
      <c r="D669" s="306">
        <f t="shared" ca="1" si="298"/>
        <v>-0.7359678543277971</v>
      </c>
      <c r="E669" s="307">
        <f t="shared" ca="1" si="299"/>
        <v>-2.6078633319418545</v>
      </c>
      <c r="F669" s="304">
        <f t="shared" ca="1" si="300"/>
        <v>2.7097232037037902</v>
      </c>
      <c r="G669" s="306">
        <f t="shared" ca="1" si="301"/>
        <v>12.575566725081943</v>
      </c>
      <c r="H669" s="307">
        <f t="shared" ca="1" si="302"/>
        <v>-123.06471224821912</v>
      </c>
      <c r="I669" s="304">
        <f t="shared" ca="1" si="303"/>
        <v>123.70557093031002</v>
      </c>
      <c r="J669" s="306">
        <f t="shared" ca="1" si="304"/>
        <v>780.60585379989482</v>
      </c>
      <c r="K669" s="307">
        <f t="shared" ca="1" si="305"/>
        <v>-5.0289406563954433</v>
      </c>
      <c r="L669" s="304">
        <f t="shared" ca="1" si="290"/>
        <v>780.62205274434075</v>
      </c>
      <c r="M669" s="306">
        <f t="shared" ca="1" si="306"/>
        <v>-1.4689631780927614</v>
      </c>
      <c r="N669" s="304">
        <f t="shared" ca="1" si="307"/>
        <v>-84.165390364839539</v>
      </c>
      <c r="P669" s="310">
        <f t="shared" ca="1" si="308"/>
        <v>23</v>
      </c>
      <c r="Q669" s="304">
        <f t="shared" ca="1" si="309"/>
        <v>0</v>
      </c>
      <c r="R669" s="306">
        <f t="shared" ca="1" si="310"/>
        <v>0</v>
      </c>
      <c r="S669" s="307">
        <f t="shared" ca="1" si="311"/>
        <v>8.0499999999999989</v>
      </c>
      <c r="T669" s="304">
        <f t="shared" ca="1" si="291"/>
        <v>78.970499999999987</v>
      </c>
      <c r="U669" s="311">
        <f t="shared" ca="1" si="292"/>
        <v>0</v>
      </c>
      <c r="V669" s="306">
        <f t="shared" ca="1" si="293"/>
        <v>1.2256162001721136</v>
      </c>
      <c r="W669" s="304">
        <f t="shared" ca="1" si="294"/>
        <v>58.279429987170083</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2.5195359907465775</v>
      </c>
      <c r="AH669" s="304">
        <f t="shared" ca="1" si="318"/>
        <v>-7.2396423439277413</v>
      </c>
    </row>
    <row r="670" spans="1:34" x14ac:dyDescent="0.3">
      <c r="A670" s="347">
        <f t="shared" ca="1" si="296"/>
        <v>1E-4</v>
      </c>
      <c r="B670" s="304">
        <f t="shared" ca="1" si="297"/>
        <v>33.9147000000007</v>
      </c>
      <c r="D670" s="306">
        <f t="shared" ca="1" si="298"/>
        <v>-0.73596595186955072</v>
      </c>
      <c r="E670" s="307">
        <f t="shared" ca="1" si="299"/>
        <v>-2.6078245377468079</v>
      </c>
      <c r="F670" s="304">
        <f t="shared" ca="1" si="300"/>
        <v>2.7096853511036305</v>
      </c>
      <c r="G670" s="306">
        <f t="shared" ca="1" si="301"/>
        <v>12.575493128486757</v>
      </c>
      <c r="H670" s="307">
        <f t="shared" ca="1" si="302"/>
        <v>-123.0649730306729</v>
      </c>
      <c r="I670" s="304">
        <f t="shared" ca="1" si="303"/>
        <v>123.7058228801897</v>
      </c>
      <c r="J670" s="306">
        <f t="shared" ca="1" si="304"/>
        <v>780.60585379989482</v>
      </c>
      <c r="K670" s="307">
        <f t="shared" ca="1" si="305"/>
        <v>-5.0412471406593875</v>
      </c>
      <c r="L670" s="304">
        <f t="shared" ca="1" si="290"/>
        <v>780.62213212244751</v>
      </c>
      <c r="M670" s="306">
        <f t="shared" ca="1" si="306"/>
        <v>-1.4689639842452014</v>
      </c>
      <c r="N670" s="304">
        <f t="shared" ca="1" si="307"/>
        <v>-84.165436553971986</v>
      </c>
      <c r="P670" s="310">
        <f t="shared" ca="1" si="308"/>
        <v>23</v>
      </c>
      <c r="Q670" s="304">
        <f t="shared" ca="1" si="309"/>
        <v>0</v>
      </c>
      <c r="R670" s="306">
        <f t="shared" ca="1" si="310"/>
        <v>0</v>
      </c>
      <c r="S670" s="307">
        <f t="shared" ca="1" si="311"/>
        <v>8.0499999999999989</v>
      </c>
      <c r="T670" s="304">
        <f t="shared" ca="1" si="291"/>
        <v>78.970499999999987</v>
      </c>
      <c r="U670" s="311">
        <f t="shared" ca="1" si="292"/>
        <v>0</v>
      </c>
      <c r="V670" s="306">
        <f t="shared" ca="1" si="293"/>
        <v>1.2256177084757853</v>
      </c>
      <c r="W670" s="304">
        <f t="shared" ca="1" si="294"/>
        <v>58.279739103487543</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2.519498394879208</v>
      </c>
      <c r="AH670" s="304">
        <f t="shared" ca="1" si="318"/>
        <v>-7.2396807437478374</v>
      </c>
    </row>
    <row r="671" spans="1:34" x14ac:dyDescent="0.3">
      <c r="A671" s="347">
        <f t="shared" ca="1" si="296"/>
        <v>1E-4</v>
      </c>
      <c r="B671" s="304">
        <f t="shared" ca="1" si="297"/>
        <v>33.914800000000703</v>
      </c>
      <c r="D671" s="306">
        <f t="shared" ca="1" si="298"/>
        <v>-0.73596404937864801</v>
      </c>
      <c r="E671" s="307">
        <f t="shared" ca="1" si="299"/>
        <v>-2.6077857438321548</v>
      </c>
      <c r="F671" s="304">
        <f t="shared" ca="1" si="300"/>
        <v>2.7096474987924246</v>
      </c>
      <c r="G671" s="306">
        <f t="shared" ca="1" si="301"/>
        <v>12.575419532081819</v>
      </c>
      <c r="H671" s="307">
        <f t="shared" ca="1" si="302"/>
        <v>-123.06523380924729</v>
      </c>
      <c r="I671" s="304">
        <f t="shared" ca="1" si="303"/>
        <v>123.70607482630983</v>
      </c>
      <c r="J671" s="306">
        <f t="shared" ca="1" si="304"/>
        <v>780.60585379989482</v>
      </c>
      <c r="K671" s="307">
        <f t="shared" ca="1" si="305"/>
        <v>-5.0535536510013834</v>
      </c>
      <c r="L671" s="304">
        <f t="shared" ca="1" si="290"/>
        <v>780.6222116947265</v>
      </c>
      <c r="M671" s="306">
        <f t="shared" ca="1" si="306"/>
        <v>-1.4689647903896397</v>
      </c>
      <c r="N671" s="304">
        <f t="shared" ca="1" si="307"/>
        <v>-84.165482742645992</v>
      </c>
      <c r="P671" s="310">
        <f t="shared" ca="1" si="308"/>
        <v>23</v>
      </c>
      <c r="Q671" s="304">
        <f t="shared" ca="1" si="309"/>
        <v>0</v>
      </c>
      <c r="R671" s="306">
        <f t="shared" ca="1" si="310"/>
        <v>0</v>
      </c>
      <c r="S671" s="307">
        <f t="shared" ca="1" si="311"/>
        <v>8.0499999999999989</v>
      </c>
      <c r="T671" s="304">
        <f t="shared" ca="1" si="291"/>
        <v>78.970499999999987</v>
      </c>
      <c r="U671" s="311">
        <f t="shared" ca="1" si="292"/>
        <v>0</v>
      </c>
      <c r="V671" s="306">
        <f t="shared" ca="1" si="293"/>
        <v>1.2256192167845097</v>
      </c>
      <c r="W671" s="304">
        <f t="shared" ca="1" si="294"/>
        <v>58.28004821757068</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2.5194607992750688</v>
      </c>
      <c r="AH671" s="304">
        <f t="shared" ca="1" si="318"/>
        <v>-7.2397191432903787</v>
      </c>
    </row>
    <row r="672" spans="1:34" x14ac:dyDescent="0.3">
      <c r="A672" s="347">
        <f t="shared" ca="1" si="296"/>
        <v>1E-4</v>
      </c>
      <c r="B672" s="304">
        <f t="shared" ca="1" si="297"/>
        <v>33.914900000000706</v>
      </c>
      <c r="D672" s="306">
        <f t="shared" ca="1" si="298"/>
        <v>-0.73596214685509054</v>
      </c>
      <c r="E672" s="307">
        <f t="shared" ca="1" si="299"/>
        <v>-2.6077469501978943</v>
      </c>
      <c r="F672" s="304">
        <f t="shared" ca="1" si="300"/>
        <v>2.7096096467701711</v>
      </c>
      <c r="G672" s="306">
        <f t="shared" ca="1" si="301"/>
        <v>12.575345935867134</v>
      </c>
      <c r="H672" s="307">
        <f t="shared" ca="1" si="302"/>
        <v>-123.06549458394231</v>
      </c>
      <c r="I672" s="304">
        <f t="shared" ca="1" si="303"/>
        <v>123.70632676867042</v>
      </c>
      <c r="J672" s="306">
        <f t="shared" ca="1" si="304"/>
        <v>780.60585379989482</v>
      </c>
      <c r="K672" s="307">
        <f t="shared" ca="1" si="305"/>
        <v>-5.0658601874210429</v>
      </c>
      <c r="L672" s="304">
        <f t="shared" ca="1" si="290"/>
        <v>780.62229146117852</v>
      </c>
      <c r="M672" s="306">
        <f t="shared" ca="1" si="306"/>
        <v>-1.4689655965260766</v>
      </c>
      <c r="N672" s="304">
        <f t="shared" ca="1" si="307"/>
        <v>-84.165528930861527</v>
      </c>
      <c r="P672" s="310">
        <f t="shared" ca="1" si="308"/>
        <v>23</v>
      </c>
      <c r="Q672" s="304">
        <f t="shared" ca="1" si="309"/>
        <v>0</v>
      </c>
      <c r="R672" s="306">
        <f t="shared" ca="1" si="310"/>
        <v>0</v>
      </c>
      <c r="S672" s="307">
        <f t="shared" ca="1" si="311"/>
        <v>8.0499999999999989</v>
      </c>
      <c r="T672" s="304">
        <f t="shared" ca="1" si="291"/>
        <v>78.970499999999987</v>
      </c>
      <c r="U672" s="311">
        <f t="shared" ca="1" si="292"/>
        <v>0</v>
      </c>
      <c r="V672" s="306">
        <f t="shared" ca="1" si="293"/>
        <v>1.2256207250982871</v>
      </c>
      <c r="W672" s="304">
        <f t="shared" ca="1" si="294"/>
        <v>58.280357329419495</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2.5194232039341617</v>
      </c>
      <c r="AH672" s="304">
        <f t="shared" ca="1" si="318"/>
        <v>-7.2397575425553651</v>
      </c>
    </row>
    <row r="673" spans="1:34" x14ac:dyDescent="0.3">
      <c r="A673" s="347">
        <f t="shared" ca="1" si="296"/>
        <v>1E-4</v>
      </c>
      <c r="B673" s="304">
        <f t="shared" ca="1" si="297"/>
        <v>33.91500000000071</v>
      </c>
      <c r="D673" s="306">
        <f t="shared" ca="1" si="298"/>
        <v>-0.73596024429887819</v>
      </c>
      <c r="E673" s="307">
        <f t="shared" ca="1" si="299"/>
        <v>-2.6077081568440272</v>
      </c>
      <c r="F673" s="304">
        <f t="shared" ca="1" si="300"/>
        <v>2.7095717950368723</v>
      </c>
      <c r="G673" s="306">
        <f t="shared" ca="1" si="301"/>
        <v>12.575272339842703</v>
      </c>
      <c r="H673" s="307">
        <f t="shared" ca="1" si="302"/>
        <v>-123.065755354758</v>
      </c>
      <c r="I673" s="304">
        <f t="shared" ca="1" si="303"/>
        <v>123.7065787072715</v>
      </c>
      <c r="J673" s="306">
        <f t="shared" ca="1" si="304"/>
        <v>780.60585379989482</v>
      </c>
      <c r="K673" s="307">
        <f t="shared" ca="1" si="305"/>
        <v>-5.0781667499179779</v>
      </c>
      <c r="L673" s="304">
        <f t="shared" ca="1" si="290"/>
        <v>780.62237142180516</v>
      </c>
      <c r="M673" s="306">
        <f t="shared" ca="1" si="306"/>
        <v>-1.4689664026545122</v>
      </c>
      <c r="N673" s="304">
        <f t="shared" ca="1" si="307"/>
        <v>-84.165575118618634</v>
      </c>
      <c r="P673" s="310">
        <f t="shared" ca="1" si="308"/>
        <v>23</v>
      </c>
      <c r="Q673" s="304">
        <f t="shared" ca="1" si="309"/>
        <v>0</v>
      </c>
      <c r="R673" s="306">
        <f t="shared" ca="1" si="310"/>
        <v>0</v>
      </c>
      <c r="S673" s="307">
        <f t="shared" ca="1" si="311"/>
        <v>8.0499999999999989</v>
      </c>
      <c r="T673" s="304">
        <f t="shared" ca="1" si="291"/>
        <v>78.970499999999987</v>
      </c>
      <c r="U673" s="311">
        <f t="shared" ca="1" si="292"/>
        <v>0</v>
      </c>
      <c r="V673" s="306">
        <f t="shared" ca="1" si="293"/>
        <v>1.2256222334171176</v>
      </c>
      <c r="W673" s="304">
        <f t="shared" ca="1" si="294"/>
        <v>58.280666439033993</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2.5193856088564912</v>
      </c>
      <c r="AH673" s="304">
        <f t="shared" ca="1" si="318"/>
        <v>-7.2397959415427957</v>
      </c>
    </row>
    <row r="674" spans="1:34" x14ac:dyDescent="0.3">
      <c r="A674" s="347">
        <f t="shared" ca="1" si="296"/>
        <v>1E-4</v>
      </c>
      <c r="B674" s="304">
        <f t="shared" ca="1" si="297"/>
        <v>33.915100000000713</v>
      </c>
      <c r="D674" s="306">
        <f t="shared" ca="1" si="298"/>
        <v>-0.7359583417100124</v>
      </c>
      <c r="E674" s="307">
        <f t="shared" ca="1" si="299"/>
        <v>-2.6076693637705528</v>
      </c>
      <c r="F674" s="304">
        <f t="shared" ca="1" si="300"/>
        <v>2.7095339435925272</v>
      </c>
      <c r="G674" s="306">
        <f t="shared" ca="1" si="301"/>
        <v>12.575198744008532</v>
      </c>
      <c r="H674" s="307">
        <f t="shared" ca="1" si="302"/>
        <v>-123.06601612169437</v>
      </c>
      <c r="I674" s="304">
        <f t="shared" ca="1" si="303"/>
        <v>123.7068306421131</v>
      </c>
      <c r="J674" s="306">
        <f t="shared" ca="1" si="304"/>
        <v>780.60585379989482</v>
      </c>
      <c r="K674" s="307">
        <f t="shared" ca="1" si="305"/>
        <v>-5.0904733384918002</v>
      </c>
      <c r="L674" s="304">
        <f t="shared" ca="1" si="290"/>
        <v>780.62245157660732</v>
      </c>
      <c r="M674" s="306">
        <f t="shared" ca="1" si="306"/>
        <v>-1.4689672087749464</v>
      </c>
      <c r="N674" s="304">
        <f t="shared" ca="1" si="307"/>
        <v>-84.165621305917298</v>
      </c>
      <c r="P674" s="310">
        <f t="shared" ca="1" si="308"/>
        <v>23</v>
      </c>
      <c r="Q674" s="304">
        <f t="shared" ca="1" si="309"/>
        <v>0</v>
      </c>
      <c r="R674" s="306">
        <f t="shared" ca="1" si="310"/>
        <v>0</v>
      </c>
      <c r="S674" s="307">
        <f t="shared" ca="1" si="311"/>
        <v>8.0499999999999989</v>
      </c>
      <c r="T674" s="304">
        <f t="shared" ca="1" si="291"/>
        <v>78.970499999999987</v>
      </c>
      <c r="U674" s="311">
        <f t="shared" ca="1" si="292"/>
        <v>0</v>
      </c>
      <c r="V674" s="306">
        <f t="shared" ca="1" si="293"/>
        <v>1.2256237417410005</v>
      </c>
      <c r="W674" s="304">
        <f t="shared" ca="1" si="294"/>
        <v>58.28097554641414</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2.5193480140420572</v>
      </c>
      <c r="AH674" s="304">
        <f t="shared" ca="1" si="318"/>
        <v>-7.2398343402526706</v>
      </c>
    </row>
    <row r="675" spans="1:34" x14ac:dyDescent="0.3">
      <c r="A675" s="347">
        <f t="shared" ca="1" si="296"/>
        <v>1E-4</v>
      </c>
      <c r="B675" s="304">
        <f t="shared" ca="1" si="297"/>
        <v>33.915200000000716</v>
      </c>
      <c r="D675" s="306">
        <f t="shared" ca="1" si="298"/>
        <v>-0.73595643908849484</v>
      </c>
      <c r="E675" s="307">
        <f t="shared" ca="1" si="299"/>
        <v>-2.6076305709774763</v>
      </c>
      <c r="F675" s="304">
        <f t="shared" ca="1" si="300"/>
        <v>2.7094960924371412</v>
      </c>
      <c r="G675" s="306">
        <f t="shared" ca="1" si="301"/>
        <v>12.575125148364624</v>
      </c>
      <c r="H675" s="307">
        <f t="shared" ca="1" si="302"/>
        <v>-123.06627688475147</v>
      </c>
      <c r="I675" s="304">
        <f t="shared" ca="1" si="303"/>
        <v>123.70708257319525</v>
      </c>
      <c r="J675" s="306">
        <f t="shared" ca="1" si="304"/>
        <v>780.60585379989482</v>
      </c>
      <c r="K675" s="307">
        <f t="shared" ca="1" si="305"/>
        <v>-5.1027799531421225</v>
      </c>
      <c r="L675" s="304">
        <f t="shared" ca="1" si="290"/>
        <v>780.62253192558626</v>
      </c>
      <c r="M675" s="306">
        <f t="shared" ca="1" si="306"/>
        <v>-1.4689680148873796</v>
      </c>
      <c r="N675" s="304">
        <f t="shared" ca="1" si="307"/>
        <v>-84.165667492757535</v>
      </c>
      <c r="P675" s="310">
        <f t="shared" ca="1" si="308"/>
        <v>23</v>
      </c>
      <c r="Q675" s="304">
        <f t="shared" ca="1" si="309"/>
        <v>0</v>
      </c>
      <c r="R675" s="306">
        <f t="shared" ca="1" si="310"/>
        <v>0</v>
      </c>
      <c r="S675" s="307">
        <f t="shared" ca="1" si="311"/>
        <v>8.0499999999999989</v>
      </c>
      <c r="T675" s="304">
        <f t="shared" ca="1" si="291"/>
        <v>78.970499999999987</v>
      </c>
      <c r="U675" s="311">
        <f t="shared" ca="1" si="292"/>
        <v>0</v>
      </c>
      <c r="V675" s="306">
        <f t="shared" ca="1" si="293"/>
        <v>1.2256252500699365</v>
      </c>
      <c r="W675" s="304">
        <f t="shared" ca="1" si="294"/>
        <v>58.281284651559957</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2.5193104194908589</v>
      </c>
      <c r="AH675" s="304">
        <f t="shared" ca="1" si="318"/>
        <v>-7.239872738684987</v>
      </c>
    </row>
    <row r="676" spans="1:34" x14ac:dyDescent="0.3">
      <c r="A676" s="347">
        <f t="shared" ca="1" si="296"/>
        <v>1E-4</v>
      </c>
      <c r="B676" s="304">
        <f t="shared" ca="1" si="297"/>
        <v>33.91530000000072</v>
      </c>
      <c r="D676" s="306">
        <f t="shared" ca="1" si="298"/>
        <v>-0.73595453643432374</v>
      </c>
      <c r="E676" s="307">
        <f t="shared" ca="1" si="299"/>
        <v>-2.6075917784647942</v>
      </c>
      <c r="F676" s="304">
        <f t="shared" ca="1" si="300"/>
        <v>2.7094582415707107</v>
      </c>
      <c r="G676" s="306">
        <f t="shared" ca="1" si="301"/>
        <v>12.575051552910979</v>
      </c>
      <c r="H676" s="307">
        <f t="shared" ca="1" si="302"/>
        <v>-123.06653764392932</v>
      </c>
      <c r="I676" s="304">
        <f t="shared" ca="1" si="303"/>
        <v>123.70733450051796</v>
      </c>
      <c r="J676" s="306">
        <f t="shared" ca="1" si="304"/>
        <v>780.60585379989482</v>
      </c>
      <c r="K676" s="307">
        <f t="shared" ca="1" si="305"/>
        <v>-5.1150865938685568</v>
      </c>
      <c r="L676" s="304">
        <f t="shared" ca="1" si="290"/>
        <v>780.62261246874311</v>
      </c>
      <c r="M676" s="306">
        <f t="shared" ca="1" si="306"/>
        <v>-1.4689688209918117</v>
      </c>
      <c r="N676" s="304">
        <f t="shared" ca="1" si="307"/>
        <v>-84.165713679139344</v>
      </c>
      <c r="P676" s="310">
        <f t="shared" ca="1" si="308"/>
        <v>23</v>
      </c>
      <c r="Q676" s="304">
        <f t="shared" ca="1" si="309"/>
        <v>0</v>
      </c>
      <c r="R676" s="306">
        <f t="shared" ca="1" si="310"/>
        <v>0</v>
      </c>
      <c r="S676" s="307">
        <f t="shared" ca="1" si="311"/>
        <v>8.0499999999999989</v>
      </c>
      <c r="T676" s="304">
        <f t="shared" ca="1" si="291"/>
        <v>78.970499999999987</v>
      </c>
      <c r="U676" s="311">
        <f t="shared" ca="1" si="292"/>
        <v>0</v>
      </c>
      <c r="V676" s="306">
        <f t="shared" ca="1" si="293"/>
        <v>1.2256267584039244</v>
      </c>
      <c r="W676" s="304">
        <f t="shared" ca="1" si="294"/>
        <v>58.281593754471373</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2.5192728252028962</v>
      </c>
      <c r="AH676" s="304">
        <f t="shared" ca="1" si="318"/>
        <v>-7.2399111368397469</v>
      </c>
    </row>
    <row r="677" spans="1:34" x14ac:dyDescent="0.3">
      <c r="A677" s="347">
        <f t="shared" ca="1" si="296"/>
        <v>1E-4</v>
      </c>
      <c r="B677" s="304">
        <f t="shared" ca="1" si="297"/>
        <v>33.915400000000723</v>
      </c>
      <c r="D677" s="306">
        <f t="shared" ca="1" si="298"/>
        <v>-0.73595263374750164</v>
      </c>
      <c r="E677" s="307">
        <f t="shared" ca="1" si="299"/>
        <v>-2.6075529862325144</v>
      </c>
      <c r="F677" s="304">
        <f t="shared" ca="1" si="300"/>
        <v>2.7094203909932451</v>
      </c>
      <c r="G677" s="306">
        <f t="shared" ca="1" si="301"/>
        <v>12.574977957647604</v>
      </c>
      <c r="H677" s="307">
        <f t="shared" ca="1" si="302"/>
        <v>-123.06679839922795</v>
      </c>
      <c r="I677" s="304">
        <f t="shared" ca="1" si="303"/>
        <v>123.70758642408127</v>
      </c>
      <c r="J677" s="306">
        <f t="shared" ca="1" si="304"/>
        <v>780.60585379989482</v>
      </c>
      <c r="K677" s="307">
        <f t="shared" ca="1" si="305"/>
        <v>-5.1273932606707149</v>
      </c>
      <c r="L677" s="304">
        <f t="shared" ca="1" si="290"/>
        <v>780.62269320607913</v>
      </c>
      <c r="M677" s="306">
        <f t="shared" ca="1" si="306"/>
        <v>-1.4689696270882429</v>
      </c>
      <c r="N677" s="304">
        <f t="shared" ca="1" si="307"/>
        <v>-84.165759865062725</v>
      </c>
      <c r="P677" s="310">
        <f t="shared" ca="1" si="308"/>
        <v>23</v>
      </c>
      <c r="Q677" s="304">
        <f t="shared" ca="1" si="309"/>
        <v>0</v>
      </c>
      <c r="R677" s="306">
        <f t="shared" ca="1" si="310"/>
        <v>0</v>
      </c>
      <c r="S677" s="307">
        <f t="shared" ca="1" si="311"/>
        <v>8.0499999999999989</v>
      </c>
      <c r="T677" s="304">
        <f t="shared" ca="1" si="291"/>
        <v>78.970499999999987</v>
      </c>
      <c r="U677" s="311">
        <f t="shared" ca="1" si="292"/>
        <v>0</v>
      </c>
      <c r="V677" s="306">
        <f t="shared" ca="1" si="293"/>
        <v>1.2256282667429654</v>
      </c>
      <c r="W677" s="304">
        <f t="shared" ca="1" si="294"/>
        <v>58.281902855148466</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2.5192352311781772</v>
      </c>
      <c r="AH677" s="304">
        <f t="shared" ca="1" si="318"/>
        <v>-7.239949534716942</v>
      </c>
    </row>
    <row r="678" spans="1:34" x14ac:dyDescent="0.3">
      <c r="A678" s="347">
        <f t="shared" ca="1" si="296"/>
        <v>1E-4</v>
      </c>
      <c r="B678" s="304">
        <f t="shared" ca="1" si="297"/>
        <v>33.915500000000726</v>
      </c>
      <c r="D678" s="306">
        <f t="shared" ca="1" si="298"/>
        <v>-0.73595073102802933</v>
      </c>
      <c r="E678" s="307">
        <f t="shared" ca="1" si="299"/>
        <v>-2.607514194280629</v>
      </c>
      <c r="F678" s="304">
        <f t="shared" ca="1" si="300"/>
        <v>2.7093825407047358</v>
      </c>
      <c r="G678" s="306">
        <f t="shared" ca="1" si="301"/>
        <v>12.574904362574502</v>
      </c>
      <c r="H678" s="307">
        <f t="shared" ca="1" si="302"/>
        <v>-123.06705915064738</v>
      </c>
      <c r="I678" s="304">
        <f t="shared" ca="1" si="303"/>
        <v>123.70783834388521</v>
      </c>
      <c r="J678" s="306">
        <f t="shared" ca="1" si="304"/>
        <v>780.60585379989482</v>
      </c>
      <c r="K678" s="307">
        <f t="shared" ca="1" si="305"/>
        <v>-5.1396999535482086</v>
      </c>
      <c r="L678" s="304">
        <f t="shared" ca="1" si="290"/>
        <v>780.62277413759534</v>
      </c>
      <c r="M678" s="306">
        <f t="shared" ca="1" si="306"/>
        <v>-1.4689704331766735</v>
      </c>
      <c r="N678" s="304">
        <f t="shared" ca="1" si="307"/>
        <v>-84.165806050527721</v>
      </c>
      <c r="P678" s="310">
        <f t="shared" ca="1" si="308"/>
        <v>23</v>
      </c>
      <c r="Q678" s="304">
        <f t="shared" ca="1" si="309"/>
        <v>0</v>
      </c>
      <c r="R678" s="306">
        <f t="shared" ca="1" si="310"/>
        <v>0</v>
      </c>
      <c r="S678" s="307">
        <f t="shared" ca="1" si="311"/>
        <v>8.0499999999999989</v>
      </c>
      <c r="T678" s="304">
        <f t="shared" ca="1" si="291"/>
        <v>78.970499999999987</v>
      </c>
      <c r="U678" s="311">
        <f t="shared" ca="1" si="292"/>
        <v>0</v>
      </c>
      <c r="V678" s="306">
        <f t="shared" ca="1" si="293"/>
        <v>1.2256297750870593</v>
      </c>
      <c r="W678" s="304">
        <f t="shared" ca="1" si="294"/>
        <v>58.282211953591215</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2.5191976374166956</v>
      </c>
      <c r="AH678" s="304">
        <f t="shared" ca="1" si="318"/>
        <v>-7.2399879323165806</v>
      </c>
    </row>
    <row r="679" spans="1:34" x14ac:dyDescent="0.3">
      <c r="A679" s="347">
        <f t="shared" ca="1" si="296"/>
        <v>1E-4</v>
      </c>
      <c r="B679" s="304">
        <f t="shared" ca="1" si="297"/>
        <v>33.91560000000073</v>
      </c>
      <c r="D679" s="306">
        <f t="shared" ca="1" si="298"/>
        <v>-0.73594882827590502</v>
      </c>
      <c r="E679" s="307">
        <f t="shared" ca="1" si="299"/>
        <v>-2.6074754026091389</v>
      </c>
      <c r="F679" s="304">
        <f t="shared" ca="1" si="300"/>
        <v>2.7093446907051839</v>
      </c>
      <c r="G679" s="306">
        <f t="shared" ca="1" si="301"/>
        <v>12.574830767691674</v>
      </c>
      <c r="H679" s="307">
        <f t="shared" ca="1" si="302"/>
        <v>-123.06731989818765</v>
      </c>
      <c r="I679" s="304">
        <f t="shared" ca="1" si="303"/>
        <v>123.7080902599298</v>
      </c>
      <c r="J679" s="306">
        <f t="shared" ca="1" si="304"/>
        <v>780.60585379989482</v>
      </c>
      <c r="K679" s="307">
        <f t="shared" ca="1" si="305"/>
        <v>-5.1520066725006508</v>
      </c>
      <c r="L679" s="304">
        <f t="shared" ca="1" si="290"/>
        <v>780.6228552632931</v>
      </c>
      <c r="M679" s="306">
        <f t="shared" ca="1" si="306"/>
        <v>-1.4689712392571033</v>
      </c>
      <c r="N679" s="304">
        <f t="shared" ca="1" si="307"/>
        <v>-84.165852235534288</v>
      </c>
      <c r="P679" s="310">
        <f t="shared" ca="1" si="308"/>
        <v>23</v>
      </c>
      <c r="Q679" s="304">
        <f t="shared" ca="1" si="309"/>
        <v>0</v>
      </c>
      <c r="R679" s="306">
        <f t="shared" ca="1" si="310"/>
        <v>0</v>
      </c>
      <c r="S679" s="307">
        <f t="shared" ca="1" si="311"/>
        <v>8.0499999999999989</v>
      </c>
      <c r="T679" s="304">
        <f t="shared" ca="1" si="291"/>
        <v>78.970499999999987</v>
      </c>
      <c r="U679" s="311">
        <f t="shared" ca="1" si="292"/>
        <v>0</v>
      </c>
      <c r="V679" s="306">
        <f t="shared" ca="1" si="293"/>
        <v>1.2256312834362055</v>
      </c>
      <c r="W679" s="304">
        <f t="shared" ca="1" si="294"/>
        <v>58.282521049799577</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2.5191600439184505</v>
      </c>
      <c r="AH679" s="304">
        <f t="shared" ca="1" si="318"/>
        <v>-7.2400263296386616</v>
      </c>
    </row>
    <row r="680" spans="1:34" x14ac:dyDescent="0.3">
      <c r="A680" s="347">
        <f t="shared" ca="1" si="296"/>
        <v>1E-4</v>
      </c>
      <c r="B680" s="304">
        <f t="shared" ca="1" si="297"/>
        <v>33.915700000000733</v>
      </c>
      <c r="D680" s="306">
        <f t="shared" ca="1" si="298"/>
        <v>-0.73594692549113305</v>
      </c>
      <c r="E680" s="307">
        <f t="shared" ca="1" si="299"/>
        <v>-2.6074366112180511</v>
      </c>
      <c r="F680" s="304">
        <f t="shared" ca="1" si="300"/>
        <v>2.7093068409945973</v>
      </c>
      <c r="G680" s="306">
        <f t="shared" ca="1" si="301"/>
        <v>12.574757172999124</v>
      </c>
      <c r="H680" s="307">
        <f t="shared" ca="1" si="302"/>
        <v>-123.06758064184876</v>
      </c>
      <c r="I680" s="304">
        <f t="shared" ca="1" si="303"/>
        <v>123.70834217221505</v>
      </c>
      <c r="J680" s="306">
        <f t="shared" ca="1" si="304"/>
        <v>780.60585379989482</v>
      </c>
      <c r="K680" s="307">
        <f t="shared" ca="1" si="305"/>
        <v>-5.1643134175276524</v>
      </c>
      <c r="L680" s="304">
        <f t="shared" ca="1" si="290"/>
        <v>780.62293658317344</v>
      </c>
      <c r="M680" s="306">
        <f t="shared" ca="1" si="306"/>
        <v>-1.4689720453295327</v>
      </c>
      <c r="N680" s="304">
        <f t="shared" ca="1" si="307"/>
        <v>-84.165898420082485</v>
      </c>
      <c r="P680" s="310">
        <f t="shared" ca="1" si="308"/>
        <v>23</v>
      </c>
      <c r="Q680" s="304">
        <f t="shared" ca="1" si="309"/>
        <v>0</v>
      </c>
      <c r="R680" s="306">
        <f t="shared" ca="1" si="310"/>
        <v>0</v>
      </c>
      <c r="S680" s="307">
        <f t="shared" ca="1" si="311"/>
        <v>8.0499999999999989</v>
      </c>
      <c r="T680" s="304">
        <f t="shared" ca="1" si="291"/>
        <v>78.970499999999987</v>
      </c>
      <c r="U680" s="311">
        <f t="shared" ca="1" si="292"/>
        <v>0</v>
      </c>
      <c r="V680" s="306">
        <f t="shared" ca="1" si="293"/>
        <v>1.225632791790404</v>
      </c>
      <c r="W680" s="304">
        <f t="shared" ca="1" si="294"/>
        <v>58.282830143773523</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2.5191224506834544</v>
      </c>
      <c r="AH680" s="304">
        <f t="shared" ca="1" si="318"/>
        <v>-7.2400647266831779</v>
      </c>
    </row>
    <row r="681" spans="1:34" x14ac:dyDescent="0.3">
      <c r="A681" s="347">
        <f t="shared" ca="1" si="296"/>
        <v>1E-4</v>
      </c>
      <c r="B681" s="304">
        <f t="shared" ca="1" si="297"/>
        <v>33.915800000000736</v>
      </c>
      <c r="D681" s="306">
        <f t="shared" ca="1" si="298"/>
        <v>-0.73594502267370987</v>
      </c>
      <c r="E681" s="307">
        <f t="shared" ca="1" si="299"/>
        <v>-2.6073978201073684</v>
      </c>
      <c r="F681" s="304">
        <f t="shared" ca="1" si="300"/>
        <v>2.7092689915729786</v>
      </c>
      <c r="G681" s="306">
        <f t="shared" ca="1" si="301"/>
        <v>12.574683578496858</v>
      </c>
      <c r="H681" s="307">
        <f t="shared" ca="1" si="302"/>
        <v>-123.06784138163077</v>
      </c>
      <c r="I681" s="304">
        <f t="shared" ca="1" si="303"/>
        <v>123.70859408074101</v>
      </c>
      <c r="J681" s="306">
        <f t="shared" ca="1" si="304"/>
        <v>780.60585379989482</v>
      </c>
      <c r="K681" s="307">
        <f t="shared" ca="1" si="305"/>
        <v>-5.1766201886288261</v>
      </c>
      <c r="L681" s="304">
        <f t="shared" ca="1" si="290"/>
        <v>780.62301809723749</v>
      </c>
      <c r="M681" s="306">
        <f t="shared" ca="1" si="306"/>
        <v>-1.4689728513939617</v>
      </c>
      <c r="N681" s="304">
        <f t="shared" ca="1" si="307"/>
        <v>-84.165944604172282</v>
      </c>
      <c r="P681" s="310">
        <f t="shared" ca="1" si="308"/>
        <v>23</v>
      </c>
      <c r="Q681" s="304">
        <f t="shared" ca="1" si="309"/>
        <v>0</v>
      </c>
      <c r="R681" s="306">
        <f t="shared" ca="1" si="310"/>
        <v>0</v>
      </c>
      <c r="S681" s="307">
        <f t="shared" ca="1" si="311"/>
        <v>8.0499999999999989</v>
      </c>
      <c r="T681" s="304">
        <f t="shared" ca="1" si="291"/>
        <v>78.970499999999987</v>
      </c>
      <c r="U681" s="311">
        <f t="shared" ca="1" si="292"/>
        <v>0</v>
      </c>
      <c r="V681" s="306">
        <f t="shared" ca="1" si="293"/>
        <v>1.225634300149655</v>
      </c>
      <c r="W681" s="304">
        <f t="shared" ca="1" si="294"/>
        <v>58.28313923551309</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2.519084857711702</v>
      </c>
      <c r="AH681" s="304">
        <f t="shared" ca="1" si="318"/>
        <v>-7.2401031234501279</v>
      </c>
    </row>
    <row r="682" spans="1:34" x14ac:dyDescent="0.3">
      <c r="A682" s="347">
        <f t="shared" ca="1" si="296"/>
        <v>1E-4</v>
      </c>
      <c r="B682" s="304">
        <f t="shared" ca="1" si="297"/>
        <v>33.91590000000074</v>
      </c>
      <c r="D682" s="306">
        <f t="shared" ca="1" si="298"/>
        <v>-0.73594311982363891</v>
      </c>
      <c r="E682" s="307">
        <f t="shared" ca="1" si="299"/>
        <v>-2.6073590292770872</v>
      </c>
      <c r="F682" s="304">
        <f t="shared" ca="1" si="300"/>
        <v>2.7092311424403244</v>
      </c>
      <c r="G682" s="306">
        <f t="shared" ca="1" si="301"/>
        <v>12.574609984184875</v>
      </c>
      <c r="H682" s="307">
        <f t="shared" ca="1" si="302"/>
        <v>-123.0681021175337</v>
      </c>
      <c r="I682" s="304">
        <f t="shared" ca="1" si="303"/>
        <v>123.70884598550769</v>
      </c>
      <c r="J682" s="306">
        <f t="shared" ca="1" si="304"/>
        <v>780.60585379989482</v>
      </c>
      <c r="K682" s="307">
        <f t="shared" ca="1" si="305"/>
        <v>-5.1889269858037848</v>
      </c>
      <c r="L682" s="304">
        <f t="shared" ca="1" si="290"/>
        <v>780.62309980548662</v>
      </c>
      <c r="M682" s="306">
        <f t="shared" ca="1" si="306"/>
        <v>-1.4689736574503904</v>
      </c>
      <c r="N682" s="304">
        <f t="shared" ca="1" si="307"/>
        <v>-84.165990787803693</v>
      </c>
      <c r="P682" s="310">
        <f t="shared" ca="1" si="308"/>
        <v>23</v>
      </c>
      <c r="Q682" s="304">
        <f t="shared" ca="1" si="309"/>
        <v>0</v>
      </c>
      <c r="R682" s="306">
        <f t="shared" ca="1" si="310"/>
        <v>0</v>
      </c>
      <c r="S682" s="307">
        <f t="shared" ca="1" si="311"/>
        <v>8.0499999999999989</v>
      </c>
      <c r="T682" s="304">
        <f t="shared" ca="1" si="291"/>
        <v>78.970499999999987</v>
      </c>
      <c r="U682" s="311">
        <f t="shared" ca="1" si="292"/>
        <v>0</v>
      </c>
      <c r="V682" s="306">
        <f t="shared" ca="1" si="293"/>
        <v>1.2256358085139589</v>
      </c>
      <c r="W682" s="304">
        <f t="shared" ca="1" si="294"/>
        <v>58.283448325018284</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2.519047265003195</v>
      </c>
      <c r="AH682" s="304">
        <f t="shared" ca="1" si="318"/>
        <v>-7.2401415199395149</v>
      </c>
    </row>
    <row r="683" spans="1:34" x14ac:dyDescent="0.3">
      <c r="A683" s="347">
        <f t="shared" ca="1" si="296"/>
        <v>1E-4</v>
      </c>
      <c r="B683" s="304">
        <f t="shared" ca="1" si="297"/>
        <v>33.916000000000743</v>
      </c>
      <c r="D683" s="306">
        <f t="shared" ca="1" si="298"/>
        <v>-0.73594121694092052</v>
      </c>
      <c r="E683" s="307">
        <f t="shared" ca="1" si="299"/>
        <v>-2.607320238727203</v>
      </c>
      <c r="F683" s="304">
        <f t="shared" ca="1" si="300"/>
        <v>2.709193293596631</v>
      </c>
      <c r="G683" s="306">
        <f t="shared" ca="1" si="301"/>
        <v>12.57453639006318</v>
      </c>
      <c r="H683" s="307">
        <f t="shared" ca="1" si="302"/>
        <v>-123.06836284955757</v>
      </c>
      <c r="I683" s="304">
        <f t="shared" ca="1" si="303"/>
        <v>123.70909788651514</v>
      </c>
      <c r="J683" s="306">
        <f t="shared" ca="1" si="304"/>
        <v>780.60585379989482</v>
      </c>
      <c r="K683" s="307">
        <f t="shared" ca="1" si="305"/>
        <v>-5.2012338090521393</v>
      </c>
      <c r="L683" s="304">
        <f t="shared" ca="1" si="290"/>
        <v>780.62318170792184</v>
      </c>
      <c r="M683" s="306">
        <f t="shared" ca="1" si="306"/>
        <v>-1.4689744634988189</v>
      </c>
      <c r="N683" s="304">
        <f t="shared" ca="1" si="307"/>
        <v>-84.16603697097672</v>
      </c>
      <c r="P683" s="310">
        <f t="shared" ca="1" si="308"/>
        <v>23</v>
      </c>
      <c r="Q683" s="304">
        <f t="shared" ca="1" si="309"/>
        <v>0</v>
      </c>
      <c r="R683" s="306">
        <f t="shared" ca="1" si="310"/>
        <v>0</v>
      </c>
      <c r="S683" s="307">
        <f t="shared" ca="1" si="311"/>
        <v>8.0499999999999989</v>
      </c>
      <c r="T683" s="304">
        <f t="shared" ca="1" si="291"/>
        <v>78.970499999999987</v>
      </c>
      <c r="U683" s="311">
        <f t="shared" ca="1" si="292"/>
        <v>0</v>
      </c>
      <c r="V683" s="306">
        <f t="shared" ca="1" si="293"/>
        <v>1.2256373168833152</v>
      </c>
      <c r="W683" s="304">
        <f t="shared" ca="1" si="294"/>
        <v>58.283757412289084</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2.5190096725579298</v>
      </c>
      <c r="AH683" s="304">
        <f t="shared" ca="1" si="318"/>
        <v>-7.2401799161513409</v>
      </c>
    </row>
    <row r="684" spans="1:34" x14ac:dyDescent="0.3">
      <c r="A684" s="347">
        <f t="shared" ca="1" si="296"/>
        <v>1E-4</v>
      </c>
      <c r="B684" s="304">
        <f t="shared" ca="1" si="297"/>
        <v>33.916100000000746</v>
      </c>
      <c r="D684" s="306">
        <f t="shared" ca="1" si="298"/>
        <v>-0.73593931402555579</v>
      </c>
      <c r="E684" s="307">
        <f t="shared" ca="1" si="299"/>
        <v>-2.6072814484577238</v>
      </c>
      <c r="F684" s="304">
        <f t="shared" ca="1" si="300"/>
        <v>2.7091554450419064</v>
      </c>
      <c r="G684" s="306">
        <f t="shared" ca="1" si="301"/>
        <v>12.574462796131778</v>
      </c>
      <c r="H684" s="307">
        <f t="shared" ca="1" si="302"/>
        <v>-123.06862357770243</v>
      </c>
      <c r="I684" s="304">
        <f t="shared" ca="1" si="303"/>
        <v>123.70934978376337</v>
      </c>
      <c r="J684" s="306">
        <f t="shared" ca="1" si="304"/>
        <v>780.60585379989482</v>
      </c>
      <c r="K684" s="307">
        <f t="shared" ca="1" si="305"/>
        <v>-5.2135406583735024</v>
      </c>
      <c r="L684" s="304">
        <f t="shared" ca="1" si="290"/>
        <v>780.62326380454431</v>
      </c>
      <c r="M684" s="306">
        <f t="shared" ca="1" si="306"/>
        <v>-1.4689752695392475</v>
      </c>
      <c r="N684" s="304">
        <f t="shared" ca="1" si="307"/>
        <v>-84.166083153691403</v>
      </c>
      <c r="P684" s="310">
        <f t="shared" ca="1" si="308"/>
        <v>23</v>
      </c>
      <c r="Q684" s="304">
        <f t="shared" ca="1" si="309"/>
        <v>0</v>
      </c>
      <c r="R684" s="306">
        <f t="shared" ca="1" si="310"/>
        <v>0</v>
      </c>
      <c r="S684" s="307">
        <f t="shared" ca="1" si="311"/>
        <v>8.0499999999999989</v>
      </c>
      <c r="T684" s="304">
        <f t="shared" ca="1" si="291"/>
        <v>78.970499999999987</v>
      </c>
      <c r="U684" s="311">
        <f t="shared" ca="1" si="292"/>
        <v>0</v>
      </c>
      <c r="V684" s="306">
        <f t="shared" ca="1" si="293"/>
        <v>1.2256388252577235</v>
      </c>
      <c r="W684" s="304">
        <f t="shared" ca="1" si="294"/>
        <v>58.284066497325462</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2.5189720803759146</v>
      </c>
      <c r="AH684" s="304">
        <f t="shared" ca="1" si="318"/>
        <v>-7.2402183120856014</v>
      </c>
    </row>
    <row r="685" spans="1:34" x14ac:dyDescent="0.3">
      <c r="A685" s="347">
        <f t="shared" ca="1" si="296"/>
        <v>1E-4</v>
      </c>
      <c r="B685" s="304">
        <f t="shared" ca="1" si="297"/>
        <v>33.91620000000075</v>
      </c>
      <c r="D685" s="306">
        <f t="shared" ca="1" si="298"/>
        <v>-0.73593741107754296</v>
      </c>
      <c r="E685" s="307">
        <f t="shared" ca="1" si="299"/>
        <v>-2.6072426584686497</v>
      </c>
      <c r="F685" s="304">
        <f t="shared" ca="1" si="300"/>
        <v>2.7091175967761507</v>
      </c>
      <c r="G685" s="306">
        <f t="shared" ca="1" si="301"/>
        <v>12.57438920239067</v>
      </c>
      <c r="H685" s="307">
        <f t="shared" ca="1" si="302"/>
        <v>-123.06888430196827</v>
      </c>
      <c r="I685" s="304">
        <f t="shared" ca="1" si="303"/>
        <v>123.70960167725239</v>
      </c>
      <c r="J685" s="306">
        <f t="shared" ca="1" si="304"/>
        <v>780.60585379989482</v>
      </c>
      <c r="K685" s="307">
        <f t="shared" ca="1" si="305"/>
        <v>-5.2258475337674861</v>
      </c>
      <c r="L685" s="304">
        <f t="shared" ca="1" si="290"/>
        <v>780.62334609535526</v>
      </c>
      <c r="M685" s="306">
        <f t="shared" ca="1" si="306"/>
        <v>-1.4689760755716761</v>
      </c>
      <c r="N685" s="304">
        <f t="shared" ca="1" si="307"/>
        <v>-84.166129335947716</v>
      </c>
      <c r="P685" s="310">
        <f t="shared" ca="1" si="308"/>
        <v>23</v>
      </c>
      <c r="Q685" s="304">
        <f t="shared" ca="1" si="309"/>
        <v>0</v>
      </c>
      <c r="R685" s="306">
        <f t="shared" ca="1" si="310"/>
        <v>0</v>
      </c>
      <c r="S685" s="307">
        <f t="shared" ca="1" si="311"/>
        <v>8.0499999999999989</v>
      </c>
      <c r="T685" s="304">
        <f t="shared" ca="1" si="291"/>
        <v>78.970499999999987</v>
      </c>
      <c r="U685" s="311">
        <f t="shared" ca="1" si="292"/>
        <v>0</v>
      </c>
      <c r="V685" s="306">
        <f t="shared" ca="1" si="293"/>
        <v>1.2256403336371844</v>
      </c>
      <c r="W685" s="304">
        <f t="shared" ca="1" si="294"/>
        <v>58.284375580127424</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2.5189344884571456</v>
      </c>
      <c r="AH685" s="304">
        <f t="shared" ca="1" si="318"/>
        <v>-7.2402567077422946</v>
      </c>
    </row>
    <row r="686" spans="1:34" x14ac:dyDescent="0.3">
      <c r="A686" s="347">
        <f t="shared" ca="1" si="296"/>
        <v>1E-4</v>
      </c>
      <c r="B686" s="304">
        <f t="shared" ca="1" si="297"/>
        <v>33.916300000000753</v>
      </c>
      <c r="D686" s="306">
        <f t="shared" ca="1" si="298"/>
        <v>-0.73593550809688513</v>
      </c>
      <c r="E686" s="307">
        <f t="shared" ca="1" si="299"/>
        <v>-2.6072038687599806</v>
      </c>
      <c r="F686" s="304">
        <f t="shared" ca="1" si="300"/>
        <v>2.7090797487993648</v>
      </c>
      <c r="G686" s="306">
        <f t="shared" ca="1" si="301"/>
        <v>12.574315608839861</v>
      </c>
      <c r="H686" s="307">
        <f t="shared" ca="1" si="302"/>
        <v>-123.06914502235514</v>
      </c>
      <c r="I686" s="304">
        <f t="shared" ca="1" si="303"/>
        <v>123.70985356698228</v>
      </c>
      <c r="J686" s="306">
        <f t="shared" ca="1" si="304"/>
        <v>780.60585379989482</v>
      </c>
      <c r="K686" s="307">
        <f t="shared" ca="1" si="305"/>
        <v>-5.2381544352337022</v>
      </c>
      <c r="L686" s="304">
        <f t="shared" ca="1" si="290"/>
        <v>780.62342858035595</v>
      </c>
      <c r="M686" s="306">
        <f t="shared" ca="1" si="306"/>
        <v>-1.4689768815961048</v>
      </c>
      <c r="N686" s="304">
        <f t="shared" ca="1" si="307"/>
        <v>-84.166175517745657</v>
      </c>
      <c r="P686" s="310">
        <f t="shared" ca="1" si="308"/>
        <v>23</v>
      </c>
      <c r="Q686" s="304">
        <f t="shared" ca="1" si="309"/>
        <v>0</v>
      </c>
      <c r="R686" s="306">
        <f t="shared" ca="1" si="310"/>
        <v>0</v>
      </c>
      <c r="S686" s="307">
        <f t="shared" ca="1" si="311"/>
        <v>8.0499999999999989</v>
      </c>
      <c r="T686" s="304">
        <f t="shared" ca="1" si="291"/>
        <v>78.970499999999987</v>
      </c>
      <c r="U686" s="311">
        <f t="shared" ca="1" si="292"/>
        <v>0</v>
      </c>
      <c r="V686" s="306">
        <f t="shared" ca="1" si="293"/>
        <v>1.2256418420216977</v>
      </c>
      <c r="W686" s="304">
        <f t="shared" ca="1" si="294"/>
        <v>58.284684660694992</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2.5188968968016283</v>
      </c>
      <c r="AH686" s="304">
        <f t="shared" ca="1" si="318"/>
        <v>-7.2402951031214204</v>
      </c>
    </row>
    <row r="687" spans="1:34" x14ac:dyDescent="0.3">
      <c r="A687" s="347">
        <f t="shared" ca="1" si="296"/>
        <v>1E-4</v>
      </c>
      <c r="B687" s="304">
        <f t="shared" ca="1" si="297"/>
        <v>33.916400000000756</v>
      </c>
      <c r="D687" s="306">
        <f t="shared" ca="1" si="298"/>
        <v>-0.73593360508358263</v>
      </c>
      <c r="E687" s="307">
        <f t="shared" ca="1" si="299"/>
        <v>-2.6071650793317138</v>
      </c>
      <c r="F687" s="304">
        <f t="shared" ca="1" si="300"/>
        <v>2.7090419011115463</v>
      </c>
      <c r="G687" s="306">
        <f t="shared" ca="1" si="301"/>
        <v>12.574242015479353</v>
      </c>
      <c r="H687" s="307">
        <f t="shared" ca="1" si="302"/>
        <v>-123.06940573886308</v>
      </c>
      <c r="I687" s="304">
        <f t="shared" ca="1" si="303"/>
        <v>123.710105452953</v>
      </c>
      <c r="J687" s="306">
        <f t="shared" ca="1" si="304"/>
        <v>780.60585379989482</v>
      </c>
      <c r="K687" s="307">
        <f t="shared" ca="1" si="305"/>
        <v>-5.2504613627717633</v>
      </c>
      <c r="L687" s="304">
        <f t="shared" ca="1" si="290"/>
        <v>780.6235112595474</v>
      </c>
      <c r="M687" s="306">
        <f t="shared" ca="1" si="306"/>
        <v>-1.468977687612534</v>
      </c>
      <c r="N687" s="304">
        <f t="shared" ca="1" si="307"/>
        <v>-84.16622169908527</v>
      </c>
      <c r="P687" s="310">
        <f t="shared" ca="1" si="308"/>
        <v>23</v>
      </c>
      <c r="Q687" s="304">
        <f t="shared" ca="1" si="309"/>
        <v>0</v>
      </c>
      <c r="R687" s="306">
        <f t="shared" ca="1" si="310"/>
        <v>0</v>
      </c>
      <c r="S687" s="307">
        <f t="shared" ca="1" si="311"/>
        <v>8.0499999999999989</v>
      </c>
      <c r="T687" s="304">
        <f t="shared" ca="1" si="291"/>
        <v>78.970499999999987</v>
      </c>
      <c r="U687" s="311">
        <f t="shared" ca="1" si="292"/>
        <v>0</v>
      </c>
      <c r="V687" s="306">
        <f t="shared" ca="1" si="293"/>
        <v>1.2256433504112636</v>
      </c>
      <c r="W687" s="304">
        <f t="shared" ca="1" si="294"/>
        <v>58.284993739028131</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2.51885930540936</v>
      </c>
      <c r="AH687" s="304">
        <f t="shared" ca="1" si="318"/>
        <v>-7.2403334982229817</v>
      </c>
    </row>
    <row r="688" spans="1:34" x14ac:dyDescent="0.3">
      <c r="A688" s="347">
        <f t="shared" ca="1" si="296"/>
        <v>1E-4</v>
      </c>
      <c r="B688" s="304">
        <f t="shared" ca="1" si="297"/>
        <v>33.916500000000759</v>
      </c>
      <c r="D688" s="306">
        <f t="shared" ca="1" si="298"/>
        <v>-0.73593170203763514</v>
      </c>
      <c r="E688" s="307">
        <f t="shared" ca="1" si="299"/>
        <v>-2.6071262901838548</v>
      </c>
      <c r="F688" s="304">
        <f t="shared" ca="1" si="300"/>
        <v>2.7090040537126998</v>
      </c>
      <c r="G688" s="306">
        <f t="shared" ca="1" si="301"/>
        <v>12.57416842230915</v>
      </c>
      <c r="H688" s="307">
        <f t="shared" ca="1" si="302"/>
        <v>-123.0696664514921</v>
      </c>
      <c r="I688" s="304">
        <f t="shared" ca="1" si="303"/>
        <v>123.7103573351646</v>
      </c>
      <c r="J688" s="306">
        <f t="shared" ca="1" si="304"/>
        <v>780.60585379989482</v>
      </c>
      <c r="K688" s="307">
        <f t="shared" ca="1" si="305"/>
        <v>-5.2627683163812815</v>
      </c>
      <c r="L688" s="304">
        <f t="shared" ca="1" si="290"/>
        <v>780.62359413293075</v>
      </c>
      <c r="M688" s="306">
        <f t="shared" ca="1" si="306"/>
        <v>-1.4689784936209636</v>
      </c>
      <c r="N688" s="304">
        <f t="shared" ca="1" si="307"/>
        <v>-84.16626787996654</v>
      </c>
      <c r="P688" s="310">
        <f t="shared" ca="1" si="308"/>
        <v>23</v>
      </c>
      <c r="Q688" s="304">
        <f t="shared" ca="1" si="309"/>
        <v>0</v>
      </c>
      <c r="R688" s="306">
        <f t="shared" ca="1" si="310"/>
        <v>0</v>
      </c>
      <c r="S688" s="307">
        <f t="shared" ca="1" si="311"/>
        <v>8.0499999999999989</v>
      </c>
      <c r="T688" s="304">
        <f t="shared" ca="1" si="291"/>
        <v>78.970499999999987</v>
      </c>
      <c r="U688" s="311">
        <f t="shared" ca="1" si="292"/>
        <v>0</v>
      </c>
      <c r="V688" s="306">
        <f t="shared" ca="1" si="293"/>
        <v>1.2256448588058815</v>
      </c>
      <c r="W688" s="304">
        <f t="shared" ca="1" si="294"/>
        <v>58.285302815126805</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2.5188217142803397</v>
      </c>
      <c r="AH688" s="304">
        <f t="shared" ca="1" si="318"/>
        <v>-7.2403718930469738</v>
      </c>
    </row>
    <row r="689" spans="1:34" x14ac:dyDescent="0.3">
      <c r="A689" s="347">
        <f t="shared" ca="1" si="296"/>
        <v>1E-4</v>
      </c>
      <c r="B689" s="304">
        <f t="shared" ca="1" si="297"/>
        <v>33.916600000000763</v>
      </c>
      <c r="D689" s="306">
        <f t="shared" ca="1" si="298"/>
        <v>-0.73592979895904354</v>
      </c>
      <c r="E689" s="307">
        <f t="shared" ca="1" si="299"/>
        <v>-2.607087501316407</v>
      </c>
      <c r="F689" s="304">
        <f t="shared" ca="1" si="300"/>
        <v>2.7089662066028297</v>
      </c>
      <c r="G689" s="306">
        <f t="shared" ca="1" si="301"/>
        <v>12.574094829329253</v>
      </c>
      <c r="H689" s="307">
        <f t="shared" ca="1" si="302"/>
        <v>-123.06992716024223</v>
      </c>
      <c r="I689" s="304">
        <f t="shared" ca="1" si="303"/>
        <v>123.71060921361713</v>
      </c>
      <c r="J689" s="306">
        <f t="shared" ca="1" si="304"/>
        <v>780.60585379989482</v>
      </c>
      <c r="K689" s="307">
        <f t="shared" ca="1" si="305"/>
        <v>-5.2750752960618685</v>
      </c>
      <c r="L689" s="304">
        <f t="shared" ca="1" si="290"/>
        <v>780.62367720050725</v>
      </c>
      <c r="M689" s="306">
        <f t="shared" ca="1" si="306"/>
        <v>-1.4689792996213937</v>
      </c>
      <c r="N689" s="304">
        <f t="shared" ca="1" si="307"/>
        <v>-84.166314060389467</v>
      </c>
      <c r="P689" s="310">
        <f t="shared" ca="1" si="308"/>
        <v>23</v>
      </c>
      <c r="Q689" s="304">
        <f t="shared" ca="1" si="309"/>
        <v>0</v>
      </c>
      <c r="R689" s="306">
        <f t="shared" ca="1" si="310"/>
        <v>0</v>
      </c>
      <c r="S689" s="307">
        <f t="shared" ca="1" si="311"/>
        <v>8.0499999999999989</v>
      </c>
      <c r="T689" s="304">
        <f t="shared" ca="1" si="291"/>
        <v>78.970499999999987</v>
      </c>
      <c r="U689" s="311">
        <f t="shared" ca="1" si="292"/>
        <v>0</v>
      </c>
      <c r="V689" s="306">
        <f t="shared" ca="1" si="293"/>
        <v>1.2256463672055513</v>
      </c>
      <c r="W689" s="304">
        <f t="shared" ca="1" si="294"/>
        <v>58.285611888991056</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2.5187841234145774</v>
      </c>
      <c r="AH689" s="304">
        <f t="shared" ca="1" si="318"/>
        <v>-7.2404102875933924</v>
      </c>
    </row>
    <row r="690" spans="1:34" x14ac:dyDescent="0.3">
      <c r="A690" s="347">
        <f t="shared" ca="1" si="296"/>
        <v>1E-4</v>
      </c>
      <c r="B690" s="304">
        <f t="shared" ca="1" si="297"/>
        <v>33.916700000000766</v>
      </c>
      <c r="D690" s="306">
        <f t="shared" ca="1" si="298"/>
        <v>-0.73592789584780849</v>
      </c>
      <c r="E690" s="307">
        <f t="shared" ca="1" si="299"/>
        <v>-2.6070487127293642</v>
      </c>
      <c r="F690" s="304">
        <f t="shared" ca="1" si="300"/>
        <v>2.7089283597819303</v>
      </c>
      <c r="G690" s="306">
        <f t="shared" ca="1" si="301"/>
        <v>12.574021236539668</v>
      </c>
      <c r="H690" s="307">
        <f t="shared" ca="1" si="302"/>
        <v>-123.0701878651135</v>
      </c>
      <c r="I690" s="304">
        <f t="shared" ca="1" si="303"/>
        <v>123.71086108831059</v>
      </c>
      <c r="J690" s="306">
        <f t="shared" ca="1" si="304"/>
        <v>780.60585379989482</v>
      </c>
      <c r="K690" s="307">
        <f t="shared" ca="1" si="305"/>
        <v>-5.2873823018131363</v>
      </c>
      <c r="L690" s="304">
        <f t="shared" ca="1" si="290"/>
        <v>780.62376046227826</v>
      </c>
      <c r="M690" s="306">
        <f t="shared" ca="1" si="306"/>
        <v>-1.4689801056138245</v>
      </c>
      <c r="N690" s="304">
        <f t="shared" ca="1" si="307"/>
        <v>-84.166360240354081</v>
      </c>
      <c r="P690" s="310">
        <f t="shared" ca="1" si="308"/>
        <v>23</v>
      </c>
      <c r="Q690" s="304">
        <f t="shared" ca="1" si="309"/>
        <v>0</v>
      </c>
      <c r="R690" s="306">
        <f t="shared" ca="1" si="310"/>
        <v>0</v>
      </c>
      <c r="S690" s="307">
        <f t="shared" ca="1" si="311"/>
        <v>8.0499999999999989</v>
      </c>
      <c r="T690" s="304">
        <f t="shared" ca="1" si="291"/>
        <v>78.970499999999987</v>
      </c>
      <c r="U690" s="311">
        <f t="shared" ca="1" si="292"/>
        <v>0</v>
      </c>
      <c r="V690" s="306">
        <f t="shared" ca="1" si="293"/>
        <v>1.225647875610274</v>
      </c>
      <c r="W690" s="304">
        <f t="shared" ca="1" si="294"/>
        <v>58.285920960620864</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2.5187465328120684</v>
      </c>
      <c r="AH690" s="304">
        <f t="shared" ca="1" si="318"/>
        <v>-7.2404486818622438</v>
      </c>
    </row>
    <row r="691" spans="1:34" x14ac:dyDescent="0.3">
      <c r="A691" s="347">
        <f t="shared" ca="1" si="296"/>
        <v>1E-4</v>
      </c>
      <c r="B691" s="304">
        <f t="shared" ca="1" si="297"/>
        <v>33.916800000000769</v>
      </c>
      <c r="D691" s="306">
        <f t="shared" ca="1" si="298"/>
        <v>-0.73592599270393155</v>
      </c>
      <c r="E691" s="307">
        <f t="shared" ca="1" si="299"/>
        <v>-2.6070099244227301</v>
      </c>
      <c r="F691" s="304">
        <f t="shared" ca="1" si="300"/>
        <v>2.708890513250005</v>
      </c>
      <c r="G691" s="306">
        <f t="shared" ca="1" si="301"/>
        <v>12.573947643940398</v>
      </c>
      <c r="H691" s="307">
        <f t="shared" ca="1" si="302"/>
        <v>-123.07044856610594</v>
      </c>
      <c r="I691" s="304">
        <f t="shared" ca="1" si="303"/>
        <v>123.71111295924503</v>
      </c>
      <c r="J691" s="306">
        <f t="shared" ca="1" si="304"/>
        <v>780.60585379989482</v>
      </c>
      <c r="K691" s="307">
        <f t="shared" ca="1" si="305"/>
        <v>-5.2996893336346975</v>
      </c>
      <c r="L691" s="304">
        <f t="shared" ca="1" si="290"/>
        <v>780.62384391824446</v>
      </c>
      <c r="M691" s="306">
        <f t="shared" ca="1" si="306"/>
        <v>-1.4689809115982562</v>
      </c>
      <c r="N691" s="304">
        <f t="shared" ca="1" si="307"/>
        <v>-84.166406419860365</v>
      </c>
      <c r="P691" s="310">
        <f t="shared" ca="1" si="308"/>
        <v>23</v>
      </c>
      <c r="Q691" s="304">
        <f t="shared" ca="1" si="309"/>
        <v>0</v>
      </c>
      <c r="R691" s="306">
        <f t="shared" ca="1" si="310"/>
        <v>0</v>
      </c>
      <c r="S691" s="307">
        <f t="shared" ca="1" si="311"/>
        <v>8.0499999999999989</v>
      </c>
      <c r="T691" s="304">
        <f t="shared" ca="1" si="291"/>
        <v>78.970499999999987</v>
      </c>
      <c r="U691" s="311">
        <f t="shared" ca="1" si="292"/>
        <v>0</v>
      </c>
      <c r="V691" s="306">
        <f t="shared" ca="1" si="293"/>
        <v>1.2256493840200486</v>
      </c>
      <c r="W691" s="304">
        <f t="shared" ca="1" si="294"/>
        <v>58.286230030016235</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2.5187089424728146</v>
      </c>
      <c r="AH691" s="304">
        <f t="shared" ca="1" si="318"/>
        <v>-7.2404870758535242</v>
      </c>
    </row>
    <row r="692" spans="1:34" x14ac:dyDescent="0.3">
      <c r="A692" s="347">
        <f t="shared" ca="1" si="296"/>
        <v>1E-4</v>
      </c>
      <c r="B692" s="304">
        <f t="shared" ca="1" si="297"/>
        <v>33.916900000000773</v>
      </c>
      <c r="D692" s="306">
        <f t="shared" ca="1" si="298"/>
        <v>-0.73592408952741251</v>
      </c>
      <c r="E692" s="307">
        <f t="shared" ca="1" si="299"/>
        <v>-2.6069711363965045</v>
      </c>
      <c r="F692" s="304">
        <f t="shared" ca="1" si="300"/>
        <v>2.7088526670070547</v>
      </c>
      <c r="G692" s="306">
        <f t="shared" ca="1" si="301"/>
        <v>12.573874051531446</v>
      </c>
      <c r="H692" s="307">
        <f t="shared" ca="1" si="302"/>
        <v>-123.07070926321958</v>
      </c>
      <c r="I692" s="304">
        <f t="shared" ca="1" si="303"/>
        <v>123.71136482642045</v>
      </c>
      <c r="J692" s="306">
        <f t="shared" ca="1" si="304"/>
        <v>780.60585379989482</v>
      </c>
      <c r="K692" s="307">
        <f t="shared" ca="1" si="305"/>
        <v>-5.3119963915261641</v>
      </c>
      <c r="L692" s="304">
        <f t="shared" ca="1" si="290"/>
        <v>780.62392756840757</v>
      </c>
      <c r="M692" s="306">
        <f t="shared" ca="1" si="306"/>
        <v>-1.4689817175746887</v>
      </c>
      <c r="N692" s="304">
        <f t="shared" ca="1" si="307"/>
        <v>-84.166452598908336</v>
      </c>
      <c r="P692" s="310">
        <f t="shared" ca="1" si="308"/>
        <v>23</v>
      </c>
      <c r="Q692" s="304">
        <f t="shared" ca="1" si="309"/>
        <v>0</v>
      </c>
      <c r="R692" s="306">
        <f t="shared" ca="1" si="310"/>
        <v>0</v>
      </c>
      <c r="S692" s="307">
        <f t="shared" ca="1" si="311"/>
        <v>8.0499999999999989</v>
      </c>
      <c r="T692" s="304">
        <f t="shared" ca="1" si="291"/>
        <v>78.970499999999987</v>
      </c>
      <c r="U692" s="311">
        <f t="shared" ca="1" si="292"/>
        <v>0</v>
      </c>
      <c r="V692" s="306">
        <f t="shared" ca="1" si="293"/>
        <v>1.2256508924348755</v>
      </c>
      <c r="W692" s="304">
        <f t="shared" ca="1" si="294"/>
        <v>58.286539097177126</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2.5186713523968116</v>
      </c>
      <c r="AH692" s="304">
        <f t="shared" ca="1" si="318"/>
        <v>-7.2405254695672348</v>
      </c>
    </row>
    <row r="693" spans="1:34" x14ac:dyDescent="0.3">
      <c r="A693" s="347">
        <f t="shared" ca="1" si="296"/>
        <v>1E-4</v>
      </c>
      <c r="B693" s="304">
        <f t="shared" ca="1" si="297"/>
        <v>33.917000000000776</v>
      </c>
      <c r="D693" s="306">
        <f t="shared" ca="1" si="298"/>
        <v>-0.73592218631825257</v>
      </c>
      <c r="E693" s="307">
        <f t="shared" ca="1" si="299"/>
        <v>-2.606932348650691</v>
      </c>
      <c r="F693" s="304">
        <f t="shared" ca="1" si="300"/>
        <v>2.7088148210530827</v>
      </c>
      <c r="G693" s="306">
        <f t="shared" ca="1" si="301"/>
        <v>12.573800459312814</v>
      </c>
      <c r="H693" s="307">
        <f t="shared" ca="1" si="302"/>
        <v>-123.07096995645445</v>
      </c>
      <c r="I693" s="304">
        <f t="shared" ca="1" si="303"/>
        <v>123.71161668983689</v>
      </c>
      <c r="J693" s="306">
        <f t="shared" ca="1" si="304"/>
        <v>780.60585379989482</v>
      </c>
      <c r="K693" s="307">
        <f t="shared" ca="1" si="305"/>
        <v>-5.3243034754871479</v>
      </c>
      <c r="L693" s="304">
        <f t="shared" ca="1" si="290"/>
        <v>780.62401141276837</v>
      </c>
      <c r="M693" s="306">
        <f t="shared" ca="1" si="306"/>
        <v>-1.4689825235431222</v>
      </c>
      <c r="N693" s="304">
        <f t="shared" ca="1" si="307"/>
        <v>-84.166498777497992</v>
      </c>
      <c r="P693" s="310">
        <f t="shared" ca="1" si="308"/>
        <v>23</v>
      </c>
      <c r="Q693" s="304">
        <f t="shared" ca="1" si="309"/>
        <v>0</v>
      </c>
      <c r="R693" s="306">
        <f t="shared" ca="1" si="310"/>
        <v>0</v>
      </c>
      <c r="S693" s="307">
        <f t="shared" ca="1" si="311"/>
        <v>8.0499999999999989</v>
      </c>
      <c r="T693" s="304">
        <f t="shared" ca="1" si="291"/>
        <v>78.970499999999987</v>
      </c>
      <c r="U693" s="311">
        <f t="shared" ca="1" si="292"/>
        <v>0</v>
      </c>
      <c r="V693" s="306">
        <f t="shared" ca="1" si="293"/>
        <v>1.2256524008547545</v>
      </c>
      <c r="W693" s="304">
        <f t="shared" ca="1" si="294"/>
        <v>58.286848162103553</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2.5186337625840691</v>
      </c>
      <c r="AH693" s="304">
        <f t="shared" ca="1" si="318"/>
        <v>-7.2405638630033708</v>
      </c>
    </row>
    <row r="694" spans="1:34" x14ac:dyDescent="0.3">
      <c r="A694" s="347">
        <f t="shared" ca="1" si="296"/>
        <v>1E-4</v>
      </c>
      <c r="B694" s="304">
        <f t="shared" ca="1" si="297"/>
        <v>33.917100000000779</v>
      </c>
      <c r="D694" s="306">
        <f t="shared" ca="1" si="298"/>
        <v>-0.73592028307645185</v>
      </c>
      <c r="E694" s="307">
        <f t="shared" ca="1" si="299"/>
        <v>-2.6068935611852888</v>
      </c>
      <c r="F694" s="304">
        <f t="shared" ca="1" si="300"/>
        <v>2.7087769753880888</v>
      </c>
      <c r="G694" s="306">
        <f t="shared" ca="1" si="301"/>
        <v>12.573726867284506</v>
      </c>
      <c r="H694" s="307">
        <f t="shared" ca="1" si="302"/>
        <v>-123.07123064581057</v>
      </c>
      <c r="I694" s="304">
        <f t="shared" ca="1" si="303"/>
        <v>123.71186854949437</v>
      </c>
      <c r="J694" s="306">
        <f t="shared" ca="1" si="304"/>
        <v>780.60585379989482</v>
      </c>
      <c r="K694" s="307">
        <f t="shared" ca="1" si="305"/>
        <v>-5.3366105855172608</v>
      </c>
      <c r="L694" s="304">
        <f t="shared" ca="1" si="290"/>
        <v>780.62409545132812</v>
      </c>
      <c r="M694" s="306">
        <f t="shared" ca="1" si="306"/>
        <v>-1.4689833295035568</v>
      </c>
      <c r="N694" s="304">
        <f t="shared" ca="1" si="307"/>
        <v>-84.166544955629348</v>
      </c>
      <c r="P694" s="310">
        <f t="shared" ca="1" si="308"/>
        <v>23</v>
      </c>
      <c r="Q694" s="304">
        <f t="shared" ca="1" si="309"/>
        <v>0</v>
      </c>
      <c r="R694" s="306">
        <f t="shared" ca="1" si="310"/>
        <v>0</v>
      </c>
      <c r="S694" s="307">
        <f t="shared" ca="1" si="311"/>
        <v>8.0499999999999989</v>
      </c>
      <c r="T694" s="304">
        <f t="shared" ca="1" si="291"/>
        <v>78.970499999999987</v>
      </c>
      <c r="U694" s="311">
        <f t="shared" ca="1" si="292"/>
        <v>0</v>
      </c>
      <c r="V694" s="306">
        <f t="shared" ca="1" si="293"/>
        <v>1.225653909279685</v>
      </c>
      <c r="W694" s="304">
        <f t="shared" ca="1" si="294"/>
        <v>58.287157224795486</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2.5185961730345863</v>
      </c>
      <c r="AH694" s="304">
        <f t="shared" ca="1" si="318"/>
        <v>-7.2406022561619334</v>
      </c>
    </row>
    <row r="695" spans="1:34" x14ac:dyDescent="0.3">
      <c r="A695" s="347">
        <f t="shared" ca="1" si="296"/>
        <v>1E-4</v>
      </c>
      <c r="B695" s="304">
        <f t="shared" ca="1" si="297"/>
        <v>33.917200000000783</v>
      </c>
      <c r="D695" s="306">
        <f t="shared" ca="1" si="298"/>
        <v>-0.73591837980201136</v>
      </c>
      <c r="E695" s="307">
        <f t="shared" ca="1" si="299"/>
        <v>-2.6068547740003032</v>
      </c>
      <c r="F695" s="304">
        <f t="shared" ca="1" si="300"/>
        <v>2.708739130012078</v>
      </c>
      <c r="G695" s="306">
        <f t="shared" ca="1" si="301"/>
        <v>12.573653275446526</v>
      </c>
      <c r="H695" s="307">
        <f t="shared" ca="1" si="302"/>
        <v>-123.07149133128797</v>
      </c>
      <c r="I695" s="304">
        <f t="shared" ca="1" si="303"/>
        <v>123.71212040539294</v>
      </c>
      <c r="J695" s="306">
        <f t="shared" ca="1" si="304"/>
        <v>780.60585379989482</v>
      </c>
      <c r="K695" s="307">
        <f t="shared" ca="1" si="305"/>
        <v>-5.3489177216161155</v>
      </c>
      <c r="L695" s="304">
        <f t="shared" ca="1" si="290"/>
        <v>780.62417968408795</v>
      </c>
      <c r="M695" s="306">
        <f t="shared" ca="1" si="306"/>
        <v>-1.4689841354559929</v>
      </c>
      <c r="N695" s="304">
        <f t="shared" ca="1" si="307"/>
        <v>-84.166591133302433</v>
      </c>
      <c r="P695" s="310">
        <f t="shared" ca="1" si="308"/>
        <v>23</v>
      </c>
      <c r="Q695" s="304">
        <f t="shared" ca="1" si="309"/>
        <v>0</v>
      </c>
      <c r="R695" s="306">
        <f t="shared" ca="1" si="310"/>
        <v>0</v>
      </c>
      <c r="S695" s="307">
        <f t="shared" ca="1" si="311"/>
        <v>8.0499999999999989</v>
      </c>
      <c r="T695" s="304">
        <f t="shared" ca="1" si="291"/>
        <v>78.970499999999987</v>
      </c>
      <c r="U695" s="311">
        <f t="shared" ca="1" si="292"/>
        <v>0</v>
      </c>
      <c r="V695" s="306">
        <f t="shared" ca="1" si="293"/>
        <v>1.2256554177096686</v>
      </c>
      <c r="W695" s="304">
        <f t="shared" ca="1" si="294"/>
        <v>58.287466285252997</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2.5185585837483657</v>
      </c>
      <c r="AH695" s="304">
        <f t="shared" ca="1" si="318"/>
        <v>-7.240640649042918</v>
      </c>
    </row>
    <row r="696" spans="1:34" x14ac:dyDescent="0.3">
      <c r="A696" s="347">
        <f t="shared" ca="1" si="296"/>
        <v>1E-4</v>
      </c>
      <c r="B696" s="304">
        <f t="shared" ca="1" si="297"/>
        <v>33.917300000000786</v>
      </c>
      <c r="D696" s="306">
        <f t="shared" ca="1" si="298"/>
        <v>-0.73591647649493086</v>
      </c>
      <c r="E696" s="307">
        <f t="shared" ca="1" si="299"/>
        <v>-2.6068159870957217</v>
      </c>
      <c r="F696" s="304">
        <f t="shared" ca="1" si="300"/>
        <v>2.7087012849250387</v>
      </c>
      <c r="G696" s="306">
        <f t="shared" ca="1" si="301"/>
        <v>12.573579683798878</v>
      </c>
      <c r="H696" s="307">
        <f t="shared" ca="1" si="302"/>
        <v>-123.07175201288668</v>
      </c>
      <c r="I696" s="304">
        <f t="shared" ca="1" si="303"/>
        <v>123.71237225753258</v>
      </c>
      <c r="J696" s="306">
        <f t="shared" ca="1" si="304"/>
        <v>780.60585379989482</v>
      </c>
      <c r="K696" s="307">
        <f t="shared" ca="1" si="305"/>
        <v>-5.3612248837833238</v>
      </c>
      <c r="L696" s="304">
        <f t="shared" ca="1" si="290"/>
        <v>780.62426411104934</v>
      </c>
      <c r="M696" s="306">
        <f t="shared" ca="1" si="306"/>
        <v>-1.4689849414004303</v>
      </c>
      <c r="N696" s="304">
        <f t="shared" ca="1" si="307"/>
        <v>-84.166637310517217</v>
      </c>
      <c r="P696" s="310">
        <f t="shared" ca="1" si="308"/>
        <v>23</v>
      </c>
      <c r="Q696" s="304">
        <f t="shared" ca="1" si="309"/>
        <v>0</v>
      </c>
      <c r="R696" s="306">
        <f t="shared" ca="1" si="310"/>
        <v>0</v>
      </c>
      <c r="S696" s="307">
        <f t="shared" ca="1" si="311"/>
        <v>8.0499999999999989</v>
      </c>
      <c r="T696" s="304">
        <f t="shared" ca="1" si="291"/>
        <v>78.970499999999987</v>
      </c>
      <c r="U696" s="311">
        <f t="shared" ca="1" si="292"/>
        <v>0</v>
      </c>
      <c r="V696" s="306">
        <f t="shared" ca="1" si="293"/>
        <v>1.225656926144703</v>
      </c>
      <c r="W696" s="304">
        <f t="shared" ca="1" si="294"/>
        <v>58.28777534347595</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2.5185209947253977</v>
      </c>
      <c r="AH696" s="304">
        <f t="shared" ca="1" si="318"/>
        <v>-7.2406790416463362</v>
      </c>
    </row>
    <row r="697" spans="1:34" x14ac:dyDescent="0.3">
      <c r="A697" s="347">
        <f t="shared" ca="1" si="296"/>
        <v>1E-4</v>
      </c>
      <c r="B697" s="304">
        <f t="shared" ca="1" si="297"/>
        <v>33.917400000000789</v>
      </c>
      <c r="D697" s="306">
        <f t="shared" ca="1" si="298"/>
        <v>-0.73591457315521158</v>
      </c>
      <c r="E697" s="307">
        <f t="shared" ca="1" si="299"/>
        <v>-2.6067772004715639</v>
      </c>
      <c r="F697" s="304">
        <f t="shared" ca="1" si="300"/>
        <v>2.70866344012699</v>
      </c>
      <c r="G697" s="306">
        <f t="shared" ca="1" si="301"/>
        <v>12.573506092341562</v>
      </c>
      <c r="H697" s="307">
        <f t="shared" ca="1" si="302"/>
        <v>-123.07201269060673</v>
      </c>
      <c r="I697" s="304">
        <f t="shared" ca="1" si="303"/>
        <v>123.71262410591335</v>
      </c>
      <c r="J697" s="306">
        <f t="shared" ca="1" si="304"/>
        <v>780.60585379989482</v>
      </c>
      <c r="K697" s="307">
        <f t="shared" ca="1" si="305"/>
        <v>-5.3735320720184987</v>
      </c>
      <c r="L697" s="304">
        <f t="shared" ca="1" si="290"/>
        <v>780.62434873221298</v>
      </c>
      <c r="M697" s="306">
        <f t="shared" ca="1" si="306"/>
        <v>-1.4689857473368693</v>
      </c>
      <c r="N697" s="304">
        <f t="shared" ca="1" si="307"/>
        <v>-84.166683487273716</v>
      </c>
      <c r="P697" s="310">
        <f t="shared" ca="1" si="308"/>
        <v>23</v>
      </c>
      <c r="Q697" s="304">
        <f t="shared" ca="1" si="309"/>
        <v>0</v>
      </c>
      <c r="R697" s="306">
        <f t="shared" ca="1" si="310"/>
        <v>0</v>
      </c>
      <c r="S697" s="307">
        <f t="shared" ca="1" si="311"/>
        <v>8.0499999999999989</v>
      </c>
      <c r="T697" s="304">
        <f t="shared" ca="1" si="291"/>
        <v>78.970499999999987</v>
      </c>
      <c r="U697" s="311">
        <f t="shared" ca="1" si="292"/>
        <v>0</v>
      </c>
      <c r="V697" s="306">
        <f t="shared" ca="1" si="293"/>
        <v>1.2256584345847903</v>
      </c>
      <c r="W697" s="304">
        <f t="shared" ca="1" si="294"/>
        <v>58.288084399464438</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2.5184834059657</v>
      </c>
      <c r="AH697" s="304">
        <f t="shared" ca="1" si="318"/>
        <v>-7.2407174339721685</v>
      </c>
    </row>
    <row r="698" spans="1:34" x14ac:dyDescent="0.3">
      <c r="A698" s="347">
        <f t="shared" ca="1" si="296"/>
        <v>1E-4</v>
      </c>
      <c r="B698" s="304">
        <f t="shared" ca="1" si="297"/>
        <v>33.917500000000793</v>
      </c>
      <c r="D698" s="306">
        <f t="shared" ca="1" si="298"/>
        <v>-0.73591266978285463</v>
      </c>
      <c r="E698" s="307">
        <f t="shared" ca="1" si="299"/>
        <v>-2.6067384141278174</v>
      </c>
      <c r="F698" s="304">
        <f t="shared" ca="1" si="300"/>
        <v>2.7086255956179208</v>
      </c>
      <c r="G698" s="306">
        <f t="shared" ca="1" si="301"/>
        <v>12.573432501074583</v>
      </c>
      <c r="H698" s="307">
        <f t="shared" ca="1" si="302"/>
        <v>-123.07227336444814</v>
      </c>
      <c r="I698" s="304">
        <f t="shared" ca="1" si="303"/>
        <v>123.71287595053526</v>
      </c>
      <c r="J698" s="306">
        <f t="shared" ca="1" si="304"/>
        <v>780.60585379989482</v>
      </c>
      <c r="K698" s="307">
        <f t="shared" ca="1" si="305"/>
        <v>-5.3858392863212519</v>
      </c>
      <c r="L698" s="304">
        <f t="shared" ca="1" si="290"/>
        <v>780.62443354758045</v>
      </c>
      <c r="M698" s="306">
        <f t="shared" ca="1" si="306"/>
        <v>-1.4689865532653097</v>
      </c>
      <c r="N698" s="304">
        <f t="shared" ca="1" si="307"/>
        <v>-84.166729663571942</v>
      </c>
      <c r="P698" s="310">
        <f t="shared" ca="1" si="308"/>
        <v>23</v>
      </c>
      <c r="Q698" s="304">
        <f t="shared" ca="1" si="309"/>
        <v>0</v>
      </c>
      <c r="R698" s="306">
        <f t="shared" ca="1" si="310"/>
        <v>0</v>
      </c>
      <c r="S698" s="307">
        <f t="shared" ca="1" si="311"/>
        <v>8.0499999999999989</v>
      </c>
      <c r="T698" s="304">
        <f t="shared" ca="1" si="291"/>
        <v>78.970499999999987</v>
      </c>
      <c r="U698" s="311">
        <f t="shared" ca="1" si="292"/>
        <v>0</v>
      </c>
      <c r="V698" s="306">
        <f t="shared" ca="1" si="293"/>
        <v>1.2256599430299295</v>
      </c>
      <c r="W698" s="304">
        <f t="shared" ca="1" si="294"/>
        <v>58.288393453218433</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2.5184458174692628</v>
      </c>
      <c r="AH698" s="304">
        <f t="shared" ca="1" si="318"/>
        <v>-7.2407558260204281</v>
      </c>
    </row>
    <row r="699" spans="1:34" x14ac:dyDescent="0.3">
      <c r="A699" s="347">
        <f t="shared" ca="1" si="296"/>
        <v>1E-4</v>
      </c>
      <c r="B699" s="304">
        <f t="shared" ca="1" si="297"/>
        <v>33.917600000000796</v>
      </c>
      <c r="D699" s="306">
        <f t="shared" ca="1" si="298"/>
        <v>-0.73591076637786135</v>
      </c>
      <c r="E699" s="307">
        <f t="shared" ca="1" si="299"/>
        <v>-2.6066996280644856</v>
      </c>
      <c r="F699" s="304">
        <f t="shared" ca="1" si="300"/>
        <v>2.7085877513978347</v>
      </c>
      <c r="G699" s="306">
        <f t="shared" ca="1" si="301"/>
        <v>12.573358909997946</v>
      </c>
      <c r="H699" s="307">
        <f t="shared" ca="1" si="302"/>
        <v>-123.07253403441095</v>
      </c>
      <c r="I699" s="304">
        <f t="shared" ca="1" si="303"/>
        <v>123.71312779139838</v>
      </c>
      <c r="J699" s="306">
        <f t="shared" ca="1" si="304"/>
        <v>780.60585379989482</v>
      </c>
      <c r="K699" s="307">
        <f t="shared" ca="1" si="305"/>
        <v>-5.3981465266911952</v>
      </c>
      <c r="L699" s="304">
        <f t="shared" ca="1" si="290"/>
        <v>780.62451855715267</v>
      </c>
      <c r="M699" s="306">
        <f t="shared" ca="1" si="306"/>
        <v>-1.4689873591857521</v>
      </c>
      <c r="N699" s="304">
        <f t="shared" ca="1" si="307"/>
        <v>-84.166775839411912</v>
      </c>
      <c r="P699" s="310">
        <f t="shared" ca="1" si="308"/>
        <v>23</v>
      </c>
      <c r="Q699" s="304">
        <f t="shared" ca="1" si="309"/>
        <v>0</v>
      </c>
      <c r="R699" s="306">
        <f t="shared" ca="1" si="310"/>
        <v>0</v>
      </c>
      <c r="S699" s="307">
        <f t="shared" ca="1" si="311"/>
        <v>8.0499999999999989</v>
      </c>
      <c r="T699" s="304">
        <f t="shared" ca="1" si="291"/>
        <v>78.970499999999987</v>
      </c>
      <c r="U699" s="311">
        <f t="shared" ca="1" si="292"/>
        <v>0</v>
      </c>
      <c r="V699" s="306">
        <f t="shared" ca="1" si="293"/>
        <v>1.2256614514801203</v>
      </c>
      <c r="W699" s="304">
        <f t="shared" ca="1" si="294"/>
        <v>58.28870250473792</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2.5184082292360888</v>
      </c>
      <c r="AH699" s="304">
        <f t="shared" ca="1" si="318"/>
        <v>-7.2407942177911107</v>
      </c>
    </row>
    <row r="700" spans="1:34" x14ac:dyDescent="0.3">
      <c r="A700" s="347">
        <f t="shared" ca="1" si="296"/>
        <v>1E-4</v>
      </c>
      <c r="B700" s="304">
        <f t="shared" ca="1" si="297"/>
        <v>33.917700000000799</v>
      </c>
      <c r="D700" s="306">
        <f t="shared" ca="1" si="298"/>
        <v>-0.73590886294022984</v>
      </c>
      <c r="E700" s="307">
        <f t="shared" ca="1" si="299"/>
        <v>-2.6066608422815705</v>
      </c>
      <c r="F700" s="304">
        <f t="shared" ca="1" si="300"/>
        <v>2.708549907466733</v>
      </c>
      <c r="G700" s="306">
        <f t="shared" ca="1" si="301"/>
        <v>12.573285319111653</v>
      </c>
      <c r="H700" s="307">
        <f t="shared" ca="1" si="302"/>
        <v>-123.07279470049518</v>
      </c>
      <c r="I700" s="304">
        <f t="shared" ca="1" si="303"/>
        <v>123.71337962850269</v>
      </c>
      <c r="J700" s="306">
        <f t="shared" ca="1" si="304"/>
        <v>780.60585379989482</v>
      </c>
      <c r="K700" s="307">
        <f t="shared" ca="1" si="305"/>
        <v>-5.4104537931279406</v>
      </c>
      <c r="L700" s="304">
        <f t="shared" ca="1" si="290"/>
        <v>780.62460376093088</v>
      </c>
      <c r="M700" s="306">
        <f t="shared" ca="1" si="306"/>
        <v>-1.4689881650981962</v>
      </c>
      <c r="N700" s="304">
        <f t="shared" ca="1" si="307"/>
        <v>-84.166822014793624</v>
      </c>
      <c r="P700" s="310">
        <f t="shared" ca="1" si="308"/>
        <v>23</v>
      </c>
      <c r="Q700" s="304">
        <f t="shared" ca="1" si="309"/>
        <v>0</v>
      </c>
      <c r="R700" s="306">
        <f t="shared" ca="1" si="310"/>
        <v>0</v>
      </c>
      <c r="S700" s="307">
        <f t="shared" ca="1" si="311"/>
        <v>8.0499999999999989</v>
      </c>
      <c r="T700" s="304">
        <f t="shared" ca="1" si="291"/>
        <v>78.970499999999987</v>
      </c>
      <c r="U700" s="311">
        <f t="shared" ca="1" si="292"/>
        <v>0</v>
      </c>
      <c r="V700" s="306">
        <f t="shared" ca="1" si="293"/>
        <v>1.225662959935363</v>
      </c>
      <c r="W700" s="304">
        <f t="shared" ca="1" si="294"/>
        <v>58.289011554022899</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2.5183706412661797</v>
      </c>
      <c r="AH700" s="304">
        <f t="shared" ca="1" si="318"/>
        <v>-7.2408326092842143</v>
      </c>
    </row>
    <row r="701" spans="1:34" x14ac:dyDescent="0.3">
      <c r="A701" s="347">
        <f t="shared" ca="1" si="296"/>
        <v>1E-4</v>
      </c>
      <c r="B701" s="304">
        <f t="shared" ca="1" si="297"/>
        <v>33.917800000000803</v>
      </c>
      <c r="D701" s="306">
        <f t="shared" ca="1" si="298"/>
        <v>-0.73590695946996354</v>
      </c>
      <c r="E701" s="307">
        <f t="shared" ca="1" si="299"/>
        <v>-2.6066220567790719</v>
      </c>
      <c r="F701" s="304">
        <f t="shared" ca="1" si="300"/>
        <v>2.708512063824617</v>
      </c>
      <c r="G701" s="306">
        <f t="shared" ca="1" si="301"/>
        <v>12.573211728415705</v>
      </c>
      <c r="H701" s="307">
        <f t="shared" ca="1" si="302"/>
        <v>-123.07305536270086</v>
      </c>
      <c r="I701" s="304">
        <f t="shared" ca="1" si="303"/>
        <v>123.71363146184821</v>
      </c>
      <c r="J701" s="306">
        <f t="shared" ca="1" si="304"/>
        <v>780.60585379989482</v>
      </c>
      <c r="K701" s="307">
        <f t="shared" ca="1" si="305"/>
        <v>-5.4227610856311008</v>
      </c>
      <c r="L701" s="304">
        <f t="shared" ca="1" si="290"/>
        <v>780.62468915891623</v>
      </c>
      <c r="M701" s="306">
        <f t="shared" ca="1" si="306"/>
        <v>-1.4689889710026425</v>
      </c>
      <c r="N701" s="304">
        <f t="shared" ca="1" si="307"/>
        <v>-84.166868189717079</v>
      </c>
      <c r="P701" s="310">
        <f t="shared" ca="1" si="308"/>
        <v>23</v>
      </c>
      <c r="Q701" s="304">
        <f t="shared" ca="1" si="309"/>
        <v>0</v>
      </c>
      <c r="R701" s="306">
        <f t="shared" ca="1" si="310"/>
        <v>0</v>
      </c>
      <c r="S701" s="307">
        <f t="shared" ca="1" si="311"/>
        <v>8.0499999999999989</v>
      </c>
      <c r="T701" s="304">
        <f t="shared" ca="1" si="291"/>
        <v>78.970499999999987</v>
      </c>
      <c r="U701" s="311">
        <f t="shared" ca="1" si="292"/>
        <v>0</v>
      </c>
      <c r="V701" s="306">
        <f t="shared" ca="1" si="293"/>
        <v>1.2256644683956581</v>
      </c>
      <c r="W701" s="304">
        <f t="shared" ca="1" si="294"/>
        <v>58.289320601073349</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2.5183330535595365</v>
      </c>
      <c r="AH701" s="304">
        <f t="shared" ca="1" si="318"/>
        <v>-7.2408710004997401</v>
      </c>
    </row>
    <row r="702" spans="1:34" x14ac:dyDescent="0.3">
      <c r="A702" s="347">
        <f t="shared" ca="1" si="296"/>
        <v>1E-4</v>
      </c>
      <c r="B702" s="304">
        <f t="shared" ca="1" si="297"/>
        <v>33.917900000000806</v>
      </c>
      <c r="D702" s="306">
        <f t="shared" ca="1" si="298"/>
        <v>-0.73590505596706035</v>
      </c>
      <c r="E702" s="307">
        <f t="shared" ca="1" si="299"/>
        <v>-2.6065832715569925</v>
      </c>
      <c r="F702" s="304">
        <f t="shared" ca="1" si="300"/>
        <v>2.7084742204714884</v>
      </c>
      <c r="G702" s="306">
        <f t="shared" ca="1" si="301"/>
        <v>12.573138137910108</v>
      </c>
      <c r="H702" s="307">
        <f t="shared" ca="1" si="302"/>
        <v>-123.07331602102801</v>
      </c>
      <c r="I702" s="304">
        <f t="shared" ca="1" si="303"/>
        <v>123.713883291435</v>
      </c>
      <c r="J702" s="306">
        <f t="shared" ca="1" si="304"/>
        <v>780.60585379989482</v>
      </c>
      <c r="K702" s="307">
        <f t="shared" ca="1" si="305"/>
        <v>-5.4350684042002877</v>
      </c>
      <c r="L702" s="304">
        <f t="shared" ca="1" si="290"/>
        <v>780.62477475110995</v>
      </c>
      <c r="M702" s="306">
        <f t="shared" ca="1" si="306"/>
        <v>-1.4689897768990907</v>
      </c>
      <c r="N702" s="304">
        <f t="shared" ca="1" si="307"/>
        <v>-84.16691436418229</v>
      </c>
      <c r="P702" s="310">
        <f t="shared" ca="1" si="308"/>
        <v>23</v>
      </c>
      <c r="Q702" s="304">
        <f t="shared" ca="1" si="309"/>
        <v>0</v>
      </c>
      <c r="R702" s="306">
        <f t="shared" ca="1" si="310"/>
        <v>0</v>
      </c>
      <c r="S702" s="307">
        <f t="shared" ca="1" si="311"/>
        <v>8.0499999999999989</v>
      </c>
      <c r="T702" s="304">
        <f t="shared" ca="1" si="291"/>
        <v>78.970499999999987</v>
      </c>
      <c r="U702" s="311">
        <f t="shared" ca="1" si="292"/>
        <v>0</v>
      </c>
      <c r="V702" s="306">
        <f t="shared" ca="1" si="293"/>
        <v>1.2256659768610043</v>
      </c>
      <c r="W702" s="304">
        <f t="shared" ca="1" si="294"/>
        <v>58.289629645889264</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2.5182954661161627</v>
      </c>
      <c r="AH702" s="304">
        <f t="shared" ca="1" si="318"/>
        <v>-7.2409093914376843</v>
      </c>
    </row>
    <row r="703" spans="1:34" x14ac:dyDescent="0.3">
      <c r="A703" s="347">
        <f t="shared" ca="1" si="296"/>
        <v>1E-4</v>
      </c>
      <c r="B703" s="304">
        <f t="shared" ca="1" si="297"/>
        <v>33.918000000000809</v>
      </c>
      <c r="D703" s="306">
        <f t="shared" ca="1" si="298"/>
        <v>-0.73590315243152327</v>
      </c>
      <c r="E703" s="307">
        <f t="shared" ca="1" si="299"/>
        <v>-2.6065444866153333</v>
      </c>
      <c r="F703" s="304">
        <f t="shared" ca="1" si="300"/>
        <v>2.7084363774073492</v>
      </c>
      <c r="G703" s="306">
        <f t="shared" ca="1" si="301"/>
        <v>12.573064547594866</v>
      </c>
      <c r="H703" s="307">
        <f t="shared" ca="1" si="302"/>
        <v>-123.07357667547667</v>
      </c>
      <c r="I703" s="304">
        <f t="shared" ca="1" si="303"/>
        <v>123.71413511726307</v>
      </c>
      <c r="J703" s="306">
        <f t="shared" ca="1" si="304"/>
        <v>780.60585379989482</v>
      </c>
      <c r="K703" s="307">
        <f t="shared" ca="1" si="305"/>
        <v>-5.4473757488351131</v>
      </c>
      <c r="L703" s="304">
        <f t="shared" ca="1" si="290"/>
        <v>780.62486053751309</v>
      </c>
      <c r="M703" s="306">
        <f t="shared" ca="1" si="306"/>
        <v>-1.4689905827875414</v>
      </c>
      <c r="N703" s="304">
        <f t="shared" ca="1" si="307"/>
        <v>-84.166960538189272</v>
      </c>
      <c r="P703" s="310">
        <f t="shared" ca="1" si="308"/>
        <v>23</v>
      </c>
      <c r="Q703" s="304">
        <f t="shared" ca="1" si="309"/>
        <v>0</v>
      </c>
      <c r="R703" s="306">
        <f t="shared" ca="1" si="310"/>
        <v>0</v>
      </c>
      <c r="S703" s="307">
        <f t="shared" ca="1" si="311"/>
        <v>8.0499999999999989</v>
      </c>
      <c r="T703" s="304">
        <f t="shared" ca="1" si="291"/>
        <v>78.970499999999987</v>
      </c>
      <c r="U703" s="311">
        <f t="shared" ca="1" si="292"/>
        <v>0</v>
      </c>
      <c r="V703" s="306">
        <f t="shared" ca="1" si="293"/>
        <v>1.2256674853314025</v>
      </c>
      <c r="W703" s="304">
        <f t="shared" ca="1" si="294"/>
        <v>58.289938688470649</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2.5182578789360575</v>
      </c>
      <c r="AH703" s="304">
        <f t="shared" ca="1" si="318"/>
        <v>-7.2409477820980461</v>
      </c>
    </row>
    <row r="704" spans="1:34" x14ac:dyDescent="0.3">
      <c r="A704" s="347">
        <f t="shared" ca="1" si="296"/>
        <v>1E-4</v>
      </c>
      <c r="B704" s="304">
        <f t="shared" ca="1" si="297"/>
        <v>33.918100000000813</v>
      </c>
      <c r="D704" s="306">
        <f t="shared" ca="1" si="298"/>
        <v>-0.73590124886335118</v>
      </c>
      <c r="E704" s="307">
        <f t="shared" ca="1" si="299"/>
        <v>-2.6065057019540934</v>
      </c>
      <c r="F704" s="304">
        <f t="shared" ca="1" si="300"/>
        <v>2.7083985346321984</v>
      </c>
      <c r="G704" s="306">
        <f t="shared" ca="1" si="301"/>
        <v>12.57299095746998</v>
      </c>
      <c r="H704" s="307">
        <f t="shared" ca="1" si="302"/>
        <v>-123.07383732604687</v>
      </c>
      <c r="I704" s="304">
        <f t="shared" ca="1" si="303"/>
        <v>123.71438693933244</v>
      </c>
      <c r="J704" s="306">
        <f t="shared" ca="1" si="304"/>
        <v>780.60585379989482</v>
      </c>
      <c r="K704" s="307">
        <f t="shared" ca="1" si="305"/>
        <v>-5.4596831195351889</v>
      </c>
      <c r="L704" s="304">
        <f t="shared" ca="1" si="290"/>
        <v>780.62494651812688</v>
      </c>
      <c r="M704" s="306">
        <f t="shared" ca="1" si="306"/>
        <v>-1.4689913886679942</v>
      </c>
      <c r="N704" s="304">
        <f t="shared" ca="1" si="307"/>
        <v>-84.167006711738011</v>
      </c>
      <c r="P704" s="310">
        <f t="shared" ca="1" si="308"/>
        <v>23</v>
      </c>
      <c r="Q704" s="304">
        <f t="shared" ca="1" si="309"/>
        <v>0</v>
      </c>
      <c r="R704" s="306">
        <f t="shared" ca="1" si="310"/>
        <v>0</v>
      </c>
      <c r="S704" s="307">
        <f t="shared" ca="1" si="311"/>
        <v>8.0499999999999989</v>
      </c>
      <c r="T704" s="304">
        <f t="shared" ca="1" si="291"/>
        <v>78.970499999999987</v>
      </c>
      <c r="U704" s="311">
        <f t="shared" ca="1" si="292"/>
        <v>0</v>
      </c>
      <c r="V704" s="306">
        <f t="shared" ca="1" si="293"/>
        <v>1.2256689938068526</v>
      </c>
      <c r="W704" s="304">
        <f t="shared" ca="1" si="294"/>
        <v>58.290247728817491</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2.5182202920192207</v>
      </c>
      <c r="AH704" s="304">
        <f t="shared" ca="1" si="318"/>
        <v>-7.2409861724808273</v>
      </c>
    </row>
    <row r="705" spans="1:34" x14ac:dyDescent="0.3">
      <c r="A705" s="347">
        <f t="shared" ca="1" si="296"/>
        <v>1E-4</v>
      </c>
      <c r="B705" s="304">
        <f t="shared" ca="1" si="297"/>
        <v>33.918200000000816</v>
      </c>
      <c r="D705" s="306">
        <f t="shared" ca="1" si="298"/>
        <v>-0.73589934526254663</v>
      </c>
      <c r="E705" s="307">
        <f t="shared" ca="1" si="299"/>
        <v>-2.6064669175732744</v>
      </c>
      <c r="F705" s="304">
        <f t="shared" ca="1" si="300"/>
        <v>2.708360692146039</v>
      </c>
      <c r="G705" s="306">
        <f t="shared" ca="1" si="301"/>
        <v>12.572917367535453</v>
      </c>
      <c r="H705" s="307">
        <f t="shared" ca="1" si="302"/>
        <v>-123.07409797273863</v>
      </c>
      <c r="I705" s="304">
        <f t="shared" ca="1" si="303"/>
        <v>123.71463875764316</v>
      </c>
      <c r="J705" s="306">
        <f t="shared" ca="1" si="304"/>
        <v>780.60585379989482</v>
      </c>
      <c r="K705" s="307">
        <f t="shared" ca="1" si="305"/>
        <v>-5.4719905163001279</v>
      </c>
      <c r="L705" s="304">
        <f t="shared" ca="1" si="290"/>
        <v>780.62503269295246</v>
      </c>
      <c r="M705" s="306">
        <f t="shared" ca="1" si="306"/>
        <v>-1.4689921945404496</v>
      </c>
      <c r="N705" s="304">
        <f t="shared" ca="1" si="307"/>
        <v>-84.167052884828536</v>
      </c>
      <c r="P705" s="310">
        <f t="shared" ca="1" si="308"/>
        <v>23</v>
      </c>
      <c r="Q705" s="304">
        <f t="shared" ca="1" si="309"/>
        <v>0</v>
      </c>
      <c r="R705" s="306">
        <f t="shared" ca="1" si="310"/>
        <v>0</v>
      </c>
      <c r="S705" s="307">
        <f t="shared" ca="1" si="311"/>
        <v>8.0499999999999989</v>
      </c>
      <c r="T705" s="304">
        <f t="shared" ca="1" si="291"/>
        <v>78.970499999999987</v>
      </c>
      <c r="U705" s="311">
        <f t="shared" ca="1" si="292"/>
        <v>0</v>
      </c>
      <c r="V705" s="306">
        <f t="shared" ca="1" si="293"/>
        <v>1.2256705022873549</v>
      </c>
      <c r="W705" s="304">
        <f t="shared" ca="1" si="294"/>
        <v>58.290556766929818</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2.5181827053656578</v>
      </c>
      <c r="AH705" s="304">
        <f t="shared" ca="1" si="318"/>
        <v>-7.2410245625860243</v>
      </c>
    </row>
    <row r="706" spans="1:34" x14ac:dyDescent="0.3">
      <c r="A706" s="347">
        <f t="shared" ca="1" si="296"/>
        <v>1E-4</v>
      </c>
      <c r="B706" s="304">
        <f t="shared" ca="1" si="297"/>
        <v>33.918300000000819</v>
      </c>
      <c r="D706" s="306">
        <f t="shared" ca="1" si="298"/>
        <v>-0.73589744162910886</v>
      </c>
      <c r="E706" s="307">
        <f t="shared" ca="1" si="299"/>
        <v>-2.6064281334728738</v>
      </c>
      <c r="F706" s="304">
        <f t="shared" ca="1" si="300"/>
        <v>2.7083228499488676</v>
      </c>
      <c r="G706" s="306">
        <f t="shared" ca="1" si="301"/>
        <v>12.57284377779129</v>
      </c>
      <c r="H706" s="307">
        <f t="shared" ca="1" si="302"/>
        <v>-123.07435861555197</v>
      </c>
      <c r="I706" s="304">
        <f t="shared" ca="1" si="303"/>
        <v>123.71489057219522</v>
      </c>
      <c r="J706" s="306">
        <f t="shared" ca="1" si="304"/>
        <v>780.60585379989482</v>
      </c>
      <c r="K706" s="307">
        <f t="shared" ca="1" si="305"/>
        <v>-5.4842979391295428</v>
      </c>
      <c r="L706" s="304">
        <f t="shared" ca="1" si="290"/>
        <v>780.6251190619912</v>
      </c>
      <c r="M706" s="306">
        <f t="shared" ca="1" si="306"/>
        <v>-1.4689930004049074</v>
      </c>
      <c r="N706" s="304">
        <f t="shared" ca="1" si="307"/>
        <v>-84.167099057460831</v>
      </c>
      <c r="P706" s="310">
        <f t="shared" ca="1" si="308"/>
        <v>23</v>
      </c>
      <c r="Q706" s="304">
        <f t="shared" ca="1" si="309"/>
        <v>0</v>
      </c>
      <c r="R706" s="306">
        <f t="shared" ca="1" si="310"/>
        <v>0</v>
      </c>
      <c r="S706" s="307">
        <f t="shared" ca="1" si="311"/>
        <v>8.0499999999999989</v>
      </c>
      <c r="T706" s="304">
        <f t="shared" ca="1" si="291"/>
        <v>78.970499999999987</v>
      </c>
      <c r="U706" s="311">
        <f t="shared" ca="1" si="292"/>
        <v>0</v>
      </c>
      <c r="V706" s="306">
        <f t="shared" ca="1" si="293"/>
        <v>1.2256720107729082</v>
      </c>
      <c r="W706" s="304">
        <f t="shared" ca="1" si="294"/>
        <v>58.290865802807545</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2.5181451189753599</v>
      </c>
      <c r="AH706" s="304">
        <f t="shared" ca="1" si="318"/>
        <v>-7.2410629524136425</v>
      </c>
    </row>
    <row r="707" spans="1:34" x14ac:dyDescent="0.3">
      <c r="A707" s="347">
        <f t="shared" ca="1" si="296"/>
        <v>1E-4</v>
      </c>
      <c r="B707" s="304">
        <f t="shared" ca="1" si="297"/>
        <v>33.918400000000823</v>
      </c>
      <c r="D707" s="306">
        <f t="shared" ca="1" si="298"/>
        <v>-0.73589553796303964</v>
      </c>
      <c r="E707" s="307">
        <f t="shared" ca="1" si="299"/>
        <v>-2.6063893496529005</v>
      </c>
      <c r="F707" s="304">
        <f t="shared" ca="1" si="300"/>
        <v>2.7082850080406939</v>
      </c>
      <c r="G707" s="306">
        <f t="shared" ca="1" si="301"/>
        <v>12.572770188237493</v>
      </c>
      <c r="H707" s="307">
        <f t="shared" ca="1" si="302"/>
        <v>-123.07461925448693</v>
      </c>
      <c r="I707" s="304">
        <f t="shared" ca="1" si="303"/>
        <v>123.71514238298866</v>
      </c>
      <c r="J707" s="306">
        <f t="shared" ca="1" si="304"/>
        <v>780.60585379989482</v>
      </c>
      <c r="K707" s="307">
        <f t="shared" ca="1" si="305"/>
        <v>-5.4966053880230445</v>
      </c>
      <c r="L707" s="304">
        <f t="shared" ca="1" si="290"/>
        <v>780.62520562524389</v>
      </c>
      <c r="M707" s="306">
        <f t="shared" ca="1" si="306"/>
        <v>-1.4689938062613681</v>
      </c>
      <c r="N707" s="304">
        <f t="shared" ca="1" si="307"/>
        <v>-84.167145229634912</v>
      </c>
      <c r="P707" s="310">
        <f t="shared" ca="1" si="308"/>
        <v>23</v>
      </c>
      <c r="Q707" s="304">
        <f t="shared" ca="1" si="309"/>
        <v>0</v>
      </c>
      <c r="R707" s="306">
        <f t="shared" ca="1" si="310"/>
        <v>0</v>
      </c>
      <c r="S707" s="307">
        <f t="shared" ca="1" si="311"/>
        <v>8.0499999999999989</v>
      </c>
      <c r="T707" s="304">
        <f t="shared" ca="1" si="291"/>
        <v>78.970499999999987</v>
      </c>
      <c r="U707" s="311">
        <f t="shared" ca="1" si="292"/>
        <v>0</v>
      </c>
      <c r="V707" s="306">
        <f t="shared" ca="1" si="293"/>
        <v>1.2256735192635135</v>
      </c>
      <c r="W707" s="304">
        <f t="shared" ca="1" si="294"/>
        <v>58.291174836450715</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2.5181075328483429</v>
      </c>
      <c r="AH707" s="304">
        <f t="shared" ca="1" si="318"/>
        <v>-7.2411013419636712</v>
      </c>
    </row>
    <row r="708" spans="1:34" x14ac:dyDescent="0.3">
      <c r="A708" s="347">
        <f t="shared" ca="1" si="296"/>
        <v>1E-4</v>
      </c>
      <c r="B708" s="304">
        <f t="shared" ca="1" si="297"/>
        <v>33.918500000000826</v>
      </c>
      <c r="D708" s="306">
        <f t="shared" ca="1" si="298"/>
        <v>-0.73589363426433796</v>
      </c>
      <c r="E708" s="307">
        <f t="shared" ca="1" si="299"/>
        <v>-2.6063505661133508</v>
      </c>
      <c r="F708" s="304">
        <f t="shared" ca="1" si="300"/>
        <v>2.708247166421514</v>
      </c>
      <c r="G708" s="306">
        <f t="shared" ca="1" si="301"/>
        <v>12.572696598874067</v>
      </c>
      <c r="H708" s="307">
        <f t="shared" ca="1" si="302"/>
        <v>-123.07487988954354</v>
      </c>
      <c r="I708" s="304">
        <f t="shared" ca="1" si="303"/>
        <v>123.71539419002353</v>
      </c>
      <c r="J708" s="306">
        <f t="shared" ca="1" si="304"/>
        <v>780.60585379989482</v>
      </c>
      <c r="K708" s="307">
        <f t="shared" ca="1" si="305"/>
        <v>-5.508912862980246</v>
      </c>
      <c r="L708" s="304">
        <f t="shared" ref="L708:L771" ca="1" si="319">SQRT(pos_x^2+pos_z^2)</f>
        <v>780.62529238271202</v>
      </c>
      <c r="M708" s="306">
        <f t="shared" ca="1" si="306"/>
        <v>-1.4689946121098316</v>
      </c>
      <c r="N708" s="304">
        <f t="shared" ca="1" si="307"/>
        <v>-84.167191401350806</v>
      </c>
      <c r="P708" s="310">
        <f t="shared" ca="1" si="308"/>
        <v>23</v>
      </c>
      <c r="Q708" s="304">
        <f t="shared" ca="1" si="309"/>
        <v>0</v>
      </c>
      <c r="R708" s="306">
        <f t="shared" ca="1" si="310"/>
        <v>0</v>
      </c>
      <c r="S708" s="307">
        <f t="shared" ca="1" si="311"/>
        <v>8.0499999999999989</v>
      </c>
      <c r="T708" s="304">
        <f t="shared" ref="T708:T771" ca="1" si="320">m*g</f>
        <v>78.970499999999987</v>
      </c>
      <c r="U708" s="311">
        <f t="shared" ref="U708:U771" ca="1" si="321">IF(pos_xz&lt;L_rampe,Poids*COS(Beta),0)</f>
        <v>0</v>
      </c>
      <c r="V708" s="306">
        <f t="shared" ref="V708:V771" ca="1" si="322">Rho_moyen*(20000-Alt_rampe-pos_z)/(20000+Alt_rampe+pos_z)</f>
        <v>1.2256750277591706</v>
      </c>
      <c r="W708" s="304">
        <f t="shared" ref="W708:W771" ca="1" si="323">1/2*Rho*Sref*Cx*vit_xz^2</f>
        <v>58.291483867859355</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2.5180699469846006</v>
      </c>
      <c r="AH708" s="304">
        <f t="shared" ca="1" si="318"/>
        <v>-7.2411397312361148</v>
      </c>
    </row>
    <row r="709" spans="1:34" x14ac:dyDescent="0.3">
      <c r="A709" s="347">
        <f t="shared" ref="A709:A772" ca="1" si="325">IF(B708+0.01&lt;=T_ini+ROUNDUP(Temps_fin_propu,0), 0.01, IF(K708&gt;0, 0.1, 0.0001))</f>
        <v>1E-4</v>
      </c>
      <c r="B709" s="304">
        <f t="shared" ref="B709:B772" ca="1" si="326">B708+pas</f>
        <v>33.918600000000829</v>
      </c>
      <c r="D709" s="306">
        <f t="shared" ref="D709:D772" ca="1" si="327">IF(AND(L708&lt;L_rampe,Poussee&lt;Poids*SIN(M708)),0,(-W708+Poussee)/m*COS(M708)-U708/m*SIN(M708))</f>
        <v>-0.73589173053300583</v>
      </c>
      <c r="E709" s="307">
        <f t="shared" ref="E709:E772" ca="1" si="328">IF(AND(L708&lt;L_rampe,Poussee&lt;Poids*SIN(M708)),0,(-W708+Poussee)/m*SIN(M708)+U708/m*COS(M708)-Poids/m)</f>
        <v>-2.6063117828542195</v>
      </c>
      <c r="F709" s="304">
        <f t="shared" ref="F709:F772" ca="1" si="329">SQRT(acc_x^2+acc_z^2)</f>
        <v>2.7082093250913237</v>
      </c>
      <c r="G709" s="306">
        <f t="shared" ref="G709:G772" ca="1" si="330">G708+acc_x*pas</f>
        <v>12.572623009701013</v>
      </c>
      <c r="H709" s="307">
        <f t="shared" ref="H709:H772" ca="1" si="331">H708+acc_z*pas</f>
        <v>-123.07514052072182</v>
      </c>
      <c r="I709" s="304">
        <f t="shared" ref="I709:I772" ca="1" si="332">SQRT(vit_x^2+vit_z^2)</f>
        <v>123.71564599329983</v>
      </c>
      <c r="J709" s="306">
        <f t="shared" ref="J709:J772" ca="1" si="333">J708+0.5*(vit_x+G708)*pas*(K708&gt;=0)</f>
        <v>780.60585379989482</v>
      </c>
      <c r="K709" s="307">
        <f t="shared" ref="K709:K772" ca="1" si="334">K708+0.5*(vit_z+H708)*pas</f>
        <v>-5.5212203640007589</v>
      </c>
      <c r="L709" s="304">
        <f t="shared" ca="1" si="319"/>
        <v>780.6253793343966</v>
      </c>
      <c r="M709" s="306">
        <f t="shared" ref="M709:M772" ca="1" si="335">IF(AND(L708&gt;L_rampe,G709&gt;0),ATAN2(G709,H709),$M$4)</f>
        <v>-1.4689954179502982</v>
      </c>
      <c r="N709" s="304">
        <f t="shared" ref="N709:N772" ca="1" si="336">DEGREES(Beta)</f>
        <v>-84.167237572608499</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8.0499999999999989</v>
      </c>
      <c r="T709" s="304">
        <f t="shared" ca="1" si="320"/>
        <v>78.970499999999987</v>
      </c>
      <c r="U709" s="311">
        <f t="shared" ca="1" si="321"/>
        <v>0</v>
      </c>
      <c r="V709" s="306">
        <f t="shared" ca="1" si="322"/>
        <v>1.2256765362598789</v>
      </c>
      <c r="W709" s="304">
        <f t="shared" ca="1" si="323"/>
        <v>58.291792897033375</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2.5180323613841278</v>
      </c>
      <c r="AH709" s="304">
        <f t="shared" ref="AH709:AH772" ca="1" si="347">IF(AND(L708&lt;L_rampe,Poussee&lt;Poids*SIN(M708)), g*SIN(M708), (-W708+Poussee)/m)</f>
        <v>-7.2411781202309768</v>
      </c>
    </row>
    <row r="710" spans="1:34" x14ac:dyDescent="0.3">
      <c r="A710" s="347">
        <f t="shared" ca="1" si="325"/>
        <v>1E-4</v>
      </c>
      <c r="B710" s="304">
        <f t="shared" ca="1" si="326"/>
        <v>33.918700000000833</v>
      </c>
      <c r="D710" s="306">
        <f t="shared" ca="1" si="327"/>
        <v>-0.73588982676904202</v>
      </c>
      <c r="E710" s="307">
        <f t="shared" ca="1" si="328"/>
        <v>-2.6062729998755199</v>
      </c>
      <c r="F710" s="304">
        <f t="shared" ca="1" si="329"/>
        <v>2.7081714840501356</v>
      </c>
      <c r="G710" s="306">
        <f t="shared" ca="1" si="330"/>
        <v>12.572549420718337</v>
      </c>
      <c r="H710" s="307">
        <f t="shared" ca="1" si="331"/>
        <v>-123.07540114802181</v>
      </c>
      <c r="I710" s="304">
        <f t="shared" ca="1" si="332"/>
        <v>123.71589779281761</v>
      </c>
      <c r="J710" s="306">
        <f t="shared" ca="1" si="333"/>
        <v>780.60585379989482</v>
      </c>
      <c r="K710" s="307">
        <f t="shared" ca="1" si="334"/>
        <v>-5.5335278910841961</v>
      </c>
      <c r="L710" s="304">
        <f t="shared" ca="1" si="319"/>
        <v>780.62546648029877</v>
      </c>
      <c r="M710" s="306">
        <f t="shared" ca="1" si="335"/>
        <v>-1.4689962237827676</v>
      </c>
      <c r="N710" s="304">
        <f t="shared" ca="1" si="336"/>
        <v>-84.167283743407992</v>
      </c>
      <c r="P710" s="310">
        <f t="shared" ca="1" si="337"/>
        <v>23</v>
      </c>
      <c r="Q710" s="304">
        <f t="shared" ca="1" si="338"/>
        <v>0</v>
      </c>
      <c r="R710" s="306">
        <f t="shared" ca="1" si="339"/>
        <v>0</v>
      </c>
      <c r="S710" s="307">
        <f t="shared" ca="1" si="340"/>
        <v>8.0499999999999989</v>
      </c>
      <c r="T710" s="304">
        <f t="shared" ca="1" si="320"/>
        <v>78.970499999999987</v>
      </c>
      <c r="U710" s="311">
        <f t="shared" ca="1" si="321"/>
        <v>0</v>
      </c>
      <c r="V710" s="306">
        <f t="shared" ca="1" si="322"/>
        <v>1.2256780447656388</v>
      </c>
      <c r="W710" s="304">
        <f t="shared" ca="1" si="323"/>
        <v>58.292101923972844</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2.5179947760469394</v>
      </c>
      <c r="AH710" s="304">
        <f t="shared" ca="1" si="347"/>
        <v>-7.2412165089482459</v>
      </c>
    </row>
    <row r="711" spans="1:34" x14ac:dyDescent="0.3">
      <c r="A711" s="347">
        <f t="shared" ca="1" si="325"/>
        <v>1E-4</v>
      </c>
      <c r="B711" s="304">
        <f t="shared" ca="1" si="326"/>
        <v>33.918800000000836</v>
      </c>
      <c r="D711" s="306">
        <f t="shared" ca="1" si="327"/>
        <v>-0.73588792297245076</v>
      </c>
      <c r="E711" s="307">
        <f t="shared" ca="1" si="328"/>
        <v>-2.6062342171772412</v>
      </c>
      <c r="F711" s="304">
        <f t="shared" ca="1" si="329"/>
        <v>2.7081336432979404</v>
      </c>
      <c r="G711" s="306">
        <f t="shared" ca="1" si="330"/>
        <v>12.57247583192604</v>
      </c>
      <c r="H711" s="307">
        <f t="shared" ca="1" si="331"/>
        <v>-123.07566177144354</v>
      </c>
      <c r="I711" s="304">
        <f t="shared" ca="1" si="332"/>
        <v>123.71614958857688</v>
      </c>
      <c r="J711" s="306">
        <f t="shared" ca="1" si="333"/>
        <v>780.60585379989482</v>
      </c>
      <c r="K711" s="307">
        <f t="shared" ca="1" si="334"/>
        <v>-5.5458354442301694</v>
      </c>
      <c r="L711" s="304">
        <f t="shared" ca="1" si="319"/>
        <v>780.62555382041978</v>
      </c>
      <c r="M711" s="306">
        <f t="shared" ca="1" si="335"/>
        <v>-1.4689970296072405</v>
      </c>
      <c r="N711" s="304">
        <f t="shared" ca="1" si="336"/>
        <v>-84.167329913749313</v>
      </c>
      <c r="P711" s="310">
        <f t="shared" ca="1" si="337"/>
        <v>23</v>
      </c>
      <c r="Q711" s="304">
        <f t="shared" ca="1" si="338"/>
        <v>0</v>
      </c>
      <c r="R711" s="306">
        <f t="shared" ca="1" si="339"/>
        <v>0</v>
      </c>
      <c r="S711" s="307">
        <f t="shared" ca="1" si="340"/>
        <v>8.0499999999999989</v>
      </c>
      <c r="T711" s="304">
        <f t="shared" ca="1" si="320"/>
        <v>78.970499999999987</v>
      </c>
      <c r="U711" s="311">
        <f t="shared" ca="1" si="321"/>
        <v>0</v>
      </c>
      <c r="V711" s="306">
        <f t="shared" ca="1" si="322"/>
        <v>1.2256795532764506</v>
      </c>
      <c r="W711" s="304">
        <f t="shared" ca="1" si="323"/>
        <v>58.292410948677734</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2.5179571909730241</v>
      </c>
      <c r="AH711" s="304">
        <f t="shared" ca="1" si="347"/>
        <v>-7.2412548973879316</v>
      </c>
    </row>
    <row r="712" spans="1:34" x14ac:dyDescent="0.3">
      <c r="A712" s="347">
        <f t="shared" ca="1" si="325"/>
        <v>1E-4</v>
      </c>
      <c r="B712" s="304">
        <f t="shared" ca="1" si="326"/>
        <v>33.918900000000839</v>
      </c>
      <c r="D712" s="306">
        <f t="shared" ca="1" si="327"/>
        <v>-0.73588601914322826</v>
      </c>
      <c r="E712" s="307">
        <f t="shared" ca="1" si="328"/>
        <v>-2.606195434759389</v>
      </c>
      <c r="F712" s="304">
        <f t="shared" ca="1" si="329"/>
        <v>2.7080958028347424</v>
      </c>
      <c r="G712" s="306">
        <f t="shared" ca="1" si="330"/>
        <v>12.572402243324126</v>
      </c>
      <c r="H712" s="307">
        <f t="shared" ca="1" si="331"/>
        <v>-123.07592239098702</v>
      </c>
      <c r="I712" s="304">
        <f t="shared" ca="1" si="332"/>
        <v>123.71640138057766</v>
      </c>
      <c r="J712" s="306">
        <f t="shared" ca="1" si="333"/>
        <v>780.60585379989482</v>
      </c>
      <c r="K712" s="307">
        <f t="shared" ca="1" si="334"/>
        <v>-5.5581430234382907</v>
      </c>
      <c r="L712" s="304">
        <f t="shared" ca="1" si="319"/>
        <v>780.62564135476077</v>
      </c>
      <c r="M712" s="306">
        <f t="shared" ca="1" si="335"/>
        <v>-1.4689978354237165</v>
      </c>
      <c r="N712" s="304">
        <f t="shared" ca="1" si="336"/>
        <v>-84.167376083632462</v>
      </c>
      <c r="P712" s="310">
        <f t="shared" ca="1" si="337"/>
        <v>23</v>
      </c>
      <c r="Q712" s="304">
        <f t="shared" ca="1" si="338"/>
        <v>0</v>
      </c>
      <c r="R712" s="306">
        <f t="shared" ca="1" si="339"/>
        <v>0</v>
      </c>
      <c r="S712" s="307">
        <f t="shared" ca="1" si="340"/>
        <v>8.0499999999999989</v>
      </c>
      <c r="T712" s="304">
        <f t="shared" ca="1" si="320"/>
        <v>78.970499999999987</v>
      </c>
      <c r="U712" s="311">
        <f t="shared" ca="1" si="321"/>
        <v>0</v>
      </c>
      <c r="V712" s="306">
        <f t="shared" ca="1" si="322"/>
        <v>1.2256810617923137</v>
      </c>
      <c r="W712" s="304">
        <f t="shared" ca="1" si="323"/>
        <v>58.292719971148003</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2.5179196061623843</v>
      </c>
      <c r="AH712" s="304">
        <f t="shared" ca="1" si="347"/>
        <v>-7.2412932855500296</v>
      </c>
    </row>
    <row r="713" spans="1:34" x14ac:dyDescent="0.3">
      <c r="A713" s="347">
        <f t="shared" ca="1" si="325"/>
        <v>1E-4</v>
      </c>
      <c r="B713" s="304">
        <f t="shared" ca="1" si="326"/>
        <v>33.919000000000842</v>
      </c>
      <c r="D713" s="306">
        <f t="shared" ca="1" si="327"/>
        <v>-0.73588411528137909</v>
      </c>
      <c r="E713" s="307">
        <f t="shared" ca="1" si="328"/>
        <v>-2.6061566526219666</v>
      </c>
      <c r="F713" s="304">
        <f t="shared" ca="1" si="329"/>
        <v>2.708057962660547</v>
      </c>
      <c r="G713" s="306">
        <f t="shared" ca="1" si="330"/>
        <v>12.572328654912598</v>
      </c>
      <c r="H713" s="307">
        <f t="shared" ca="1" si="331"/>
        <v>-123.07618300665229</v>
      </c>
      <c r="I713" s="304">
        <f t="shared" ca="1" si="332"/>
        <v>123.71665316882</v>
      </c>
      <c r="J713" s="306">
        <f t="shared" ca="1" si="333"/>
        <v>780.60585379989482</v>
      </c>
      <c r="K713" s="307">
        <f t="shared" ca="1" si="334"/>
        <v>-5.5704506287081728</v>
      </c>
      <c r="L713" s="304">
        <f t="shared" ca="1" si="319"/>
        <v>780.62572908332299</v>
      </c>
      <c r="M713" s="306">
        <f t="shared" ca="1" si="335"/>
        <v>-1.468998641232196</v>
      </c>
      <c r="N713" s="304">
        <f t="shared" ca="1" si="336"/>
        <v>-84.167422253057424</v>
      </c>
      <c r="P713" s="310">
        <f t="shared" ca="1" si="337"/>
        <v>23</v>
      </c>
      <c r="Q713" s="304">
        <f t="shared" ca="1" si="338"/>
        <v>0</v>
      </c>
      <c r="R713" s="306">
        <f t="shared" ca="1" si="339"/>
        <v>0</v>
      </c>
      <c r="S713" s="307">
        <f t="shared" ca="1" si="340"/>
        <v>8.0499999999999989</v>
      </c>
      <c r="T713" s="304">
        <f t="shared" ca="1" si="320"/>
        <v>78.970499999999987</v>
      </c>
      <c r="U713" s="311">
        <f t="shared" ca="1" si="321"/>
        <v>0</v>
      </c>
      <c r="V713" s="306">
        <f t="shared" ca="1" si="322"/>
        <v>1.2256825703132284</v>
      </c>
      <c r="W713" s="304">
        <f t="shared" ca="1" si="323"/>
        <v>58.2930289913837</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2.5178820216150317</v>
      </c>
      <c r="AH713" s="304">
        <f t="shared" ca="1" si="347"/>
        <v>-7.2413316734345354</v>
      </c>
    </row>
    <row r="714" spans="1:34" x14ac:dyDescent="0.3">
      <c r="A714" s="347">
        <f t="shared" ca="1" si="325"/>
        <v>1E-4</v>
      </c>
      <c r="B714" s="304">
        <f t="shared" ca="1" si="326"/>
        <v>33.919100000000846</v>
      </c>
      <c r="D714" s="306">
        <f t="shared" ca="1" si="327"/>
        <v>-0.73588221138690191</v>
      </c>
      <c r="E714" s="307">
        <f t="shared" ca="1" si="328"/>
        <v>-2.6061178707649697</v>
      </c>
      <c r="F714" s="304">
        <f t="shared" ca="1" si="329"/>
        <v>2.7080201227753493</v>
      </c>
      <c r="G714" s="306">
        <f t="shared" ca="1" si="330"/>
        <v>12.57225506669146</v>
      </c>
      <c r="H714" s="307">
        <f t="shared" ca="1" si="331"/>
        <v>-123.07644361843936</v>
      </c>
      <c r="I714" s="304">
        <f t="shared" ca="1" si="332"/>
        <v>123.7169049533039</v>
      </c>
      <c r="J714" s="306">
        <f t="shared" ca="1" si="333"/>
        <v>780.60585379989482</v>
      </c>
      <c r="K714" s="307">
        <f t="shared" ca="1" si="334"/>
        <v>-5.5827582600394274</v>
      </c>
      <c r="L714" s="304">
        <f t="shared" ca="1" si="319"/>
        <v>780.62581700610747</v>
      </c>
      <c r="M714" s="306">
        <f t="shared" ca="1" si="335"/>
        <v>-1.468999447032679</v>
      </c>
      <c r="N714" s="304">
        <f t="shared" ca="1" si="336"/>
        <v>-84.167468422024228</v>
      </c>
      <c r="P714" s="310">
        <f t="shared" ca="1" si="337"/>
        <v>23</v>
      </c>
      <c r="Q714" s="304">
        <f t="shared" ca="1" si="338"/>
        <v>0</v>
      </c>
      <c r="R714" s="306">
        <f t="shared" ca="1" si="339"/>
        <v>0</v>
      </c>
      <c r="S714" s="307">
        <f t="shared" ca="1" si="340"/>
        <v>8.0499999999999989</v>
      </c>
      <c r="T714" s="304">
        <f t="shared" ca="1" si="320"/>
        <v>78.970499999999987</v>
      </c>
      <c r="U714" s="311">
        <f t="shared" ca="1" si="321"/>
        <v>0</v>
      </c>
      <c r="V714" s="306">
        <f t="shared" ca="1" si="322"/>
        <v>1.2256840788391945</v>
      </c>
      <c r="W714" s="304">
        <f t="shared" ca="1" si="323"/>
        <v>58.293338009384762</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2.5178444373309539</v>
      </c>
      <c r="AH714" s="304">
        <f t="shared" ca="1" si="347"/>
        <v>-7.2413700610414544</v>
      </c>
    </row>
    <row r="715" spans="1:34" x14ac:dyDescent="0.3">
      <c r="A715" s="347">
        <f t="shared" ca="1" si="325"/>
        <v>1E-4</v>
      </c>
      <c r="B715" s="304">
        <f t="shared" ca="1" si="326"/>
        <v>33.919200000000849</v>
      </c>
      <c r="D715" s="306">
        <f t="shared" ca="1" si="327"/>
        <v>-0.73588030745979771</v>
      </c>
      <c r="E715" s="307">
        <f t="shared" ca="1" si="328"/>
        <v>-2.6060790891884054</v>
      </c>
      <c r="F715" s="304">
        <f t="shared" ca="1" si="329"/>
        <v>2.707982283179156</v>
      </c>
      <c r="G715" s="306">
        <f t="shared" ca="1" si="330"/>
        <v>12.572181478660713</v>
      </c>
      <c r="H715" s="307">
        <f t="shared" ca="1" si="331"/>
        <v>-123.07670422634827</v>
      </c>
      <c r="I715" s="304">
        <f t="shared" ca="1" si="332"/>
        <v>123.71715673402939</v>
      </c>
      <c r="J715" s="306">
        <f t="shared" ca="1" si="333"/>
        <v>780.60585379989482</v>
      </c>
      <c r="K715" s="307">
        <f t="shared" ca="1" si="334"/>
        <v>-5.5950659174316666</v>
      </c>
      <c r="L715" s="304">
        <f t="shared" ca="1" si="319"/>
        <v>780.62590512311533</v>
      </c>
      <c r="M715" s="306">
        <f t="shared" ca="1" si="335"/>
        <v>-1.4690002528251658</v>
      </c>
      <c r="N715" s="304">
        <f t="shared" ca="1" si="336"/>
        <v>-84.167514590532889</v>
      </c>
      <c r="P715" s="310">
        <f t="shared" ca="1" si="337"/>
        <v>23</v>
      </c>
      <c r="Q715" s="304">
        <f t="shared" ca="1" si="338"/>
        <v>0</v>
      </c>
      <c r="R715" s="306">
        <f t="shared" ca="1" si="339"/>
        <v>0</v>
      </c>
      <c r="S715" s="307">
        <f t="shared" ca="1" si="340"/>
        <v>8.0499999999999989</v>
      </c>
      <c r="T715" s="304">
        <f t="shared" ca="1" si="320"/>
        <v>78.970499999999987</v>
      </c>
      <c r="U715" s="311">
        <f t="shared" ca="1" si="321"/>
        <v>0</v>
      </c>
      <c r="V715" s="306">
        <f t="shared" ca="1" si="322"/>
        <v>1.2256855873702117</v>
      </c>
      <c r="W715" s="304">
        <f t="shared" ca="1" si="323"/>
        <v>58.293647025151216</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2.5178068533101623</v>
      </c>
      <c r="AH715" s="304">
        <f t="shared" ca="1" si="347"/>
        <v>-7.2414084483707786</v>
      </c>
    </row>
    <row r="716" spans="1:34" x14ac:dyDescent="0.3">
      <c r="A716" s="347">
        <f t="shared" ca="1" si="325"/>
        <v>1E-4</v>
      </c>
      <c r="B716" s="304">
        <f t="shared" ca="1" si="326"/>
        <v>33.919300000000852</v>
      </c>
      <c r="D716" s="306">
        <f t="shared" ca="1" si="327"/>
        <v>-0.73587840350006695</v>
      </c>
      <c r="E716" s="307">
        <f t="shared" ca="1" si="328"/>
        <v>-2.6060403078922691</v>
      </c>
      <c r="F716" s="304">
        <f t="shared" ca="1" si="329"/>
        <v>2.707944443871964</v>
      </c>
      <c r="G716" s="306">
        <f t="shared" ca="1" si="330"/>
        <v>12.572107890820364</v>
      </c>
      <c r="H716" s="307">
        <f t="shared" ca="1" si="331"/>
        <v>-123.07696483037905</v>
      </c>
      <c r="I716" s="304">
        <f t="shared" ca="1" si="332"/>
        <v>123.71740851099651</v>
      </c>
      <c r="J716" s="306">
        <f t="shared" ca="1" si="333"/>
        <v>780.60585379989482</v>
      </c>
      <c r="K716" s="307">
        <f t="shared" ca="1" si="334"/>
        <v>-5.607373600884503</v>
      </c>
      <c r="L716" s="304">
        <f t="shared" ca="1" si="319"/>
        <v>780.62599343434795</v>
      </c>
      <c r="M716" s="306">
        <f t="shared" ca="1" si="335"/>
        <v>-1.4690010586096562</v>
      </c>
      <c r="N716" s="304">
        <f t="shared" ca="1" si="336"/>
        <v>-84.167560758583392</v>
      </c>
      <c r="P716" s="310">
        <f t="shared" ca="1" si="337"/>
        <v>23</v>
      </c>
      <c r="Q716" s="304">
        <f t="shared" ca="1" si="338"/>
        <v>0</v>
      </c>
      <c r="R716" s="306">
        <f t="shared" ca="1" si="339"/>
        <v>0</v>
      </c>
      <c r="S716" s="307">
        <f t="shared" ca="1" si="340"/>
        <v>8.0499999999999989</v>
      </c>
      <c r="T716" s="304">
        <f t="shared" ca="1" si="320"/>
        <v>78.970499999999987</v>
      </c>
      <c r="U716" s="311">
        <f t="shared" ca="1" si="321"/>
        <v>0</v>
      </c>
      <c r="V716" s="306">
        <f t="shared" ca="1" si="322"/>
        <v>1.2256870959062807</v>
      </c>
      <c r="W716" s="304">
        <f t="shared" ca="1" si="323"/>
        <v>58.293956038683049</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2.5177692695526543</v>
      </c>
      <c r="AH716" s="304">
        <f t="shared" ca="1" si="347"/>
        <v>-7.2414468354225123</v>
      </c>
    </row>
    <row r="717" spans="1:34" x14ac:dyDescent="0.3">
      <c r="A717" s="347">
        <f t="shared" ca="1" si="325"/>
        <v>1E-4</v>
      </c>
      <c r="B717" s="304">
        <f t="shared" ca="1" si="326"/>
        <v>33.919400000000856</v>
      </c>
      <c r="D717" s="306">
        <f t="shared" ca="1" si="327"/>
        <v>-0.73587649950771084</v>
      </c>
      <c r="E717" s="307">
        <f t="shared" ca="1" si="328"/>
        <v>-2.6060015268765655</v>
      </c>
      <c r="F717" s="304">
        <f t="shared" ca="1" si="329"/>
        <v>2.7079066048537777</v>
      </c>
      <c r="G717" s="306">
        <f t="shared" ca="1" si="330"/>
        <v>12.572034303170414</v>
      </c>
      <c r="H717" s="307">
        <f t="shared" ca="1" si="331"/>
        <v>-123.07722543053174</v>
      </c>
      <c r="I717" s="304">
        <f t="shared" ca="1" si="332"/>
        <v>123.71766028420528</v>
      </c>
      <c r="J717" s="306">
        <f t="shared" ca="1" si="333"/>
        <v>780.60585379989482</v>
      </c>
      <c r="K717" s="307">
        <f t="shared" ca="1" si="334"/>
        <v>-5.6196813103975485</v>
      </c>
      <c r="L717" s="304">
        <f t="shared" ca="1" si="319"/>
        <v>780.62608193980623</v>
      </c>
      <c r="M717" s="306">
        <f t="shared" ca="1" si="335"/>
        <v>-1.4690018643861507</v>
      </c>
      <c r="N717" s="304">
        <f t="shared" ca="1" si="336"/>
        <v>-84.16760692617575</v>
      </c>
      <c r="P717" s="310">
        <f t="shared" ca="1" si="337"/>
        <v>23</v>
      </c>
      <c r="Q717" s="304">
        <f t="shared" ca="1" si="338"/>
        <v>0</v>
      </c>
      <c r="R717" s="306">
        <f t="shared" ca="1" si="339"/>
        <v>0</v>
      </c>
      <c r="S717" s="307">
        <f t="shared" ca="1" si="340"/>
        <v>8.0499999999999989</v>
      </c>
      <c r="T717" s="304">
        <f t="shared" ca="1" si="320"/>
        <v>78.970499999999987</v>
      </c>
      <c r="U717" s="311">
        <f t="shared" ca="1" si="321"/>
        <v>0</v>
      </c>
      <c r="V717" s="306">
        <f t="shared" ca="1" si="322"/>
        <v>1.2256886044474009</v>
      </c>
      <c r="W717" s="304">
        <f t="shared" ca="1" si="323"/>
        <v>58.294265049980268</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2.5177316860584309</v>
      </c>
      <c r="AH717" s="304">
        <f t="shared" ca="1" si="347"/>
        <v>-7.241485222196653</v>
      </c>
    </row>
    <row r="718" spans="1:34" x14ac:dyDescent="0.3">
      <c r="A718" s="347">
        <f t="shared" ca="1" si="325"/>
        <v>1E-4</v>
      </c>
      <c r="B718" s="304">
        <f t="shared" ca="1" si="326"/>
        <v>33.919500000000859</v>
      </c>
      <c r="D718" s="306">
        <f t="shared" ca="1" si="327"/>
        <v>-0.73587459548272949</v>
      </c>
      <c r="E718" s="307">
        <f t="shared" ca="1" si="328"/>
        <v>-2.6059627461412909</v>
      </c>
      <c r="F718" s="304">
        <f t="shared" ca="1" si="329"/>
        <v>2.7078687661245935</v>
      </c>
      <c r="G718" s="306">
        <f t="shared" ca="1" si="330"/>
        <v>12.571960715710865</v>
      </c>
      <c r="H718" s="307">
        <f t="shared" ca="1" si="331"/>
        <v>-123.07748602680635</v>
      </c>
      <c r="I718" s="304">
        <f t="shared" ca="1" si="332"/>
        <v>123.71791205365572</v>
      </c>
      <c r="J718" s="306">
        <f t="shared" ca="1" si="333"/>
        <v>780.60585379989482</v>
      </c>
      <c r="K718" s="307">
        <f t="shared" ca="1" si="334"/>
        <v>-5.6319890459704149</v>
      </c>
      <c r="L718" s="304">
        <f t="shared" ca="1" si="319"/>
        <v>780.62617063949165</v>
      </c>
      <c r="M718" s="306">
        <f t="shared" ca="1" si="335"/>
        <v>-1.469002670154649</v>
      </c>
      <c r="N718" s="304">
        <f t="shared" ca="1" si="336"/>
        <v>-84.167653093309966</v>
      </c>
      <c r="P718" s="310">
        <f t="shared" ca="1" si="337"/>
        <v>23</v>
      </c>
      <c r="Q718" s="304">
        <f t="shared" ca="1" si="338"/>
        <v>0</v>
      </c>
      <c r="R718" s="306">
        <f t="shared" ca="1" si="339"/>
        <v>0</v>
      </c>
      <c r="S718" s="307">
        <f t="shared" ca="1" si="340"/>
        <v>8.0499999999999989</v>
      </c>
      <c r="T718" s="304">
        <f t="shared" ca="1" si="320"/>
        <v>78.970499999999987</v>
      </c>
      <c r="U718" s="311">
        <f t="shared" ca="1" si="321"/>
        <v>0</v>
      </c>
      <c r="V718" s="306">
        <f t="shared" ca="1" si="322"/>
        <v>1.2256901129935724</v>
      </c>
      <c r="W718" s="304">
        <f t="shared" ca="1" si="323"/>
        <v>58.29457405904283</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2.5176941028274911</v>
      </c>
      <c r="AH718" s="304">
        <f t="shared" ca="1" si="347"/>
        <v>-7.2415236086932016</v>
      </c>
    </row>
    <row r="719" spans="1:34" x14ac:dyDescent="0.3">
      <c r="A719" s="347">
        <f t="shared" ca="1" si="325"/>
        <v>1E-4</v>
      </c>
      <c r="B719" s="304">
        <f t="shared" ca="1" si="326"/>
        <v>33.919600000000862</v>
      </c>
      <c r="D719" s="306">
        <f t="shared" ca="1" si="327"/>
        <v>-0.73587269142512401</v>
      </c>
      <c r="E719" s="307">
        <f t="shared" ca="1" si="328"/>
        <v>-2.6059239656864515</v>
      </c>
      <c r="F719" s="304">
        <f t="shared" ca="1" si="329"/>
        <v>2.7078309276844181</v>
      </c>
      <c r="G719" s="306">
        <f t="shared" ca="1" si="330"/>
        <v>12.571887128441723</v>
      </c>
      <c r="H719" s="307">
        <f t="shared" ca="1" si="331"/>
        <v>-123.07774661920293</v>
      </c>
      <c r="I719" s="304">
        <f t="shared" ca="1" si="332"/>
        <v>123.71816381934786</v>
      </c>
      <c r="J719" s="306">
        <f t="shared" ca="1" si="333"/>
        <v>780.60585379989482</v>
      </c>
      <c r="K719" s="307">
        <f t="shared" ca="1" si="334"/>
        <v>-5.6442968076027151</v>
      </c>
      <c r="L719" s="304">
        <f t="shared" ca="1" si="319"/>
        <v>780.626259533405</v>
      </c>
      <c r="M719" s="306">
        <f t="shared" ca="1" si="335"/>
        <v>-1.4690034759151516</v>
      </c>
      <c r="N719" s="304">
        <f t="shared" ca="1" si="336"/>
        <v>-84.167699259986065</v>
      </c>
      <c r="P719" s="310">
        <f t="shared" ca="1" si="337"/>
        <v>23</v>
      </c>
      <c r="Q719" s="304">
        <f t="shared" ca="1" si="338"/>
        <v>0</v>
      </c>
      <c r="R719" s="306">
        <f t="shared" ca="1" si="339"/>
        <v>0</v>
      </c>
      <c r="S719" s="307">
        <f t="shared" ca="1" si="340"/>
        <v>8.0499999999999989</v>
      </c>
      <c r="T719" s="304">
        <f t="shared" ca="1" si="320"/>
        <v>78.970499999999987</v>
      </c>
      <c r="U719" s="311">
        <f t="shared" ca="1" si="321"/>
        <v>0</v>
      </c>
      <c r="V719" s="306">
        <f t="shared" ca="1" si="322"/>
        <v>1.2256916215447955</v>
      </c>
      <c r="W719" s="304">
        <f t="shared" ca="1" si="323"/>
        <v>58.294883065870764</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2.5176565198598411</v>
      </c>
      <c r="AH719" s="304">
        <f t="shared" ca="1" si="347"/>
        <v>-7.2415619949121535</v>
      </c>
    </row>
    <row r="720" spans="1:34" x14ac:dyDescent="0.3">
      <c r="A720" s="347">
        <f t="shared" ca="1" si="325"/>
        <v>1E-4</v>
      </c>
      <c r="B720" s="304">
        <f t="shared" ca="1" si="326"/>
        <v>33.919700000000866</v>
      </c>
      <c r="D720" s="306">
        <f t="shared" ca="1" si="327"/>
        <v>-0.73587078733489486</v>
      </c>
      <c r="E720" s="307">
        <f t="shared" ca="1" si="328"/>
        <v>-2.6058851855120437</v>
      </c>
      <c r="F720" s="304">
        <f t="shared" ca="1" si="329"/>
        <v>2.7077930895332489</v>
      </c>
      <c r="G720" s="306">
        <f t="shared" ca="1" si="330"/>
        <v>12.571813541362991</v>
      </c>
      <c r="H720" s="307">
        <f t="shared" ca="1" si="331"/>
        <v>-123.07800720772148</v>
      </c>
      <c r="I720" s="304">
        <f t="shared" ca="1" si="332"/>
        <v>123.71841558128176</v>
      </c>
      <c r="J720" s="306">
        <f t="shared" ca="1" si="333"/>
        <v>780.60585379989482</v>
      </c>
      <c r="K720" s="307">
        <f t="shared" ca="1" si="334"/>
        <v>-5.6566045952940618</v>
      </c>
      <c r="L720" s="304">
        <f t="shared" ca="1" si="319"/>
        <v>780.62634862154778</v>
      </c>
      <c r="M720" s="306">
        <f t="shared" ca="1" si="335"/>
        <v>-1.4690042816676585</v>
      </c>
      <c r="N720" s="304">
        <f t="shared" ca="1" si="336"/>
        <v>-84.167745426204036</v>
      </c>
      <c r="P720" s="310">
        <f t="shared" ca="1" si="337"/>
        <v>23</v>
      </c>
      <c r="Q720" s="304">
        <f t="shared" ca="1" si="338"/>
        <v>0</v>
      </c>
      <c r="R720" s="306">
        <f t="shared" ca="1" si="339"/>
        <v>0</v>
      </c>
      <c r="S720" s="307">
        <f t="shared" ca="1" si="340"/>
        <v>8.0499999999999989</v>
      </c>
      <c r="T720" s="304">
        <f t="shared" ca="1" si="320"/>
        <v>78.970499999999987</v>
      </c>
      <c r="U720" s="311">
        <f t="shared" ca="1" si="321"/>
        <v>0</v>
      </c>
      <c r="V720" s="306">
        <f t="shared" ca="1" si="322"/>
        <v>1.2256931301010692</v>
      </c>
      <c r="W720" s="304">
        <f t="shared" ca="1" si="323"/>
        <v>58.295192070464047</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2.5176189371554774</v>
      </c>
      <c r="AH720" s="304">
        <f t="shared" ca="1" si="347"/>
        <v>-7.2416003808535123</v>
      </c>
    </row>
    <row r="721" spans="1:34" x14ac:dyDescent="0.3">
      <c r="A721" s="347">
        <f t="shared" ca="1" si="325"/>
        <v>1E-4</v>
      </c>
      <c r="B721" s="304">
        <f t="shared" ca="1" si="326"/>
        <v>33.919800000000869</v>
      </c>
      <c r="D721" s="306">
        <f t="shared" ca="1" si="327"/>
        <v>-0.73586888321204158</v>
      </c>
      <c r="E721" s="307">
        <f t="shared" ca="1" si="328"/>
        <v>-2.6058464056180703</v>
      </c>
      <c r="F721" s="304">
        <f t="shared" ca="1" si="329"/>
        <v>2.7077552516710872</v>
      </c>
      <c r="G721" s="306">
        <f t="shared" ca="1" si="330"/>
        <v>12.571739954474669</v>
      </c>
      <c r="H721" s="307">
        <f t="shared" ca="1" si="331"/>
        <v>-123.07826779236204</v>
      </c>
      <c r="I721" s="304">
        <f t="shared" ca="1" si="332"/>
        <v>123.71866733945738</v>
      </c>
      <c r="J721" s="306">
        <f t="shared" ca="1" si="333"/>
        <v>780.60585379989482</v>
      </c>
      <c r="K721" s="307">
        <f t="shared" ca="1" si="334"/>
        <v>-5.6689124090440659</v>
      </c>
      <c r="L721" s="304">
        <f t="shared" ca="1" si="319"/>
        <v>780.62643790392099</v>
      </c>
      <c r="M721" s="306">
        <f t="shared" ca="1" si="335"/>
        <v>-1.4690050874121698</v>
      </c>
      <c r="N721" s="304">
        <f t="shared" ca="1" si="336"/>
        <v>-84.167791591963905</v>
      </c>
      <c r="P721" s="310">
        <f t="shared" ca="1" si="337"/>
        <v>23</v>
      </c>
      <c r="Q721" s="304">
        <f t="shared" ca="1" si="338"/>
        <v>0</v>
      </c>
      <c r="R721" s="306">
        <f t="shared" ca="1" si="339"/>
        <v>0</v>
      </c>
      <c r="S721" s="307">
        <f t="shared" ca="1" si="340"/>
        <v>8.0499999999999989</v>
      </c>
      <c r="T721" s="304">
        <f t="shared" ca="1" si="320"/>
        <v>78.970499999999987</v>
      </c>
      <c r="U721" s="311">
        <f t="shared" ca="1" si="321"/>
        <v>0</v>
      </c>
      <c r="V721" s="306">
        <f t="shared" ca="1" si="322"/>
        <v>1.2256946386623946</v>
      </c>
      <c r="W721" s="304">
        <f t="shared" ca="1" si="323"/>
        <v>58.295501072822674</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2.5175813547144061</v>
      </c>
      <c r="AH721" s="304">
        <f t="shared" ca="1" si="347"/>
        <v>-7.2416387665172737</v>
      </c>
    </row>
    <row r="722" spans="1:34" x14ac:dyDescent="0.3">
      <c r="A722" s="347">
        <f t="shared" ca="1" si="325"/>
        <v>1E-4</v>
      </c>
      <c r="B722" s="304">
        <f t="shared" ca="1" si="326"/>
        <v>33.919900000000872</v>
      </c>
      <c r="D722" s="306">
        <f t="shared" ca="1" si="327"/>
        <v>-0.73586697905656562</v>
      </c>
      <c r="E722" s="307">
        <f t="shared" ca="1" si="328"/>
        <v>-2.6058076260045322</v>
      </c>
      <c r="F722" s="304">
        <f t="shared" ca="1" si="329"/>
        <v>2.7077174140979356</v>
      </c>
      <c r="G722" s="306">
        <f t="shared" ca="1" si="330"/>
        <v>12.571666367776764</v>
      </c>
      <c r="H722" s="307">
        <f t="shared" ca="1" si="331"/>
        <v>-123.07852837312464</v>
      </c>
      <c r="I722" s="304">
        <f t="shared" ca="1" si="332"/>
        <v>123.71891909387479</v>
      </c>
      <c r="J722" s="306">
        <f t="shared" ca="1" si="333"/>
        <v>780.60585379989482</v>
      </c>
      <c r="K722" s="307">
        <f t="shared" ca="1" si="334"/>
        <v>-5.6812202488523402</v>
      </c>
      <c r="L722" s="304">
        <f t="shared" ca="1" si="319"/>
        <v>780.62652738052566</v>
      </c>
      <c r="M722" s="306">
        <f t="shared" ca="1" si="335"/>
        <v>-1.4690058931486856</v>
      </c>
      <c r="N722" s="304">
        <f t="shared" ca="1" si="336"/>
        <v>-84.167837757265659</v>
      </c>
      <c r="P722" s="310">
        <f t="shared" ca="1" si="337"/>
        <v>23</v>
      </c>
      <c r="Q722" s="304">
        <f t="shared" ca="1" si="338"/>
        <v>0</v>
      </c>
      <c r="R722" s="306">
        <f t="shared" ca="1" si="339"/>
        <v>0</v>
      </c>
      <c r="S722" s="307">
        <f t="shared" ca="1" si="340"/>
        <v>8.0499999999999989</v>
      </c>
      <c r="T722" s="304">
        <f t="shared" ca="1" si="320"/>
        <v>78.970499999999987</v>
      </c>
      <c r="U722" s="311">
        <f t="shared" ca="1" si="321"/>
        <v>0</v>
      </c>
      <c r="V722" s="306">
        <f t="shared" ca="1" si="322"/>
        <v>1.2256961472287708</v>
      </c>
      <c r="W722" s="304">
        <f t="shared" ca="1" si="323"/>
        <v>58.295810072946622</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2.5175437725366212</v>
      </c>
      <c r="AH722" s="304">
        <f t="shared" ca="1" si="347"/>
        <v>-7.2416771519034384</v>
      </c>
    </row>
    <row r="723" spans="1:34" x14ac:dyDescent="0.3">
      <c r="A723" s="347">
        <f t="shared" ca="1" si="325"/>
        <v>1E-4</v>
      </c>
      <c r="B723" s="304">
        <f t="shared" ca="1" si="326"/>
        <v>33.920000000000876</v>
      </c>
      <c r="D723" s="306">
        <f t="shared" ca="1" si="327"/>
        <v>-0.73586507486846864</v>
      </c>
      <c r="E723" s="307">
        <f t="shared" ca="1" si="328"/>
        <v>-2.6057688466714319</v>
      </c>
      <c r="F723" s="304">
        <f t="shared" ca="1" si="329"/>
        <v>2.7076795768137969</v>
      </c>
      <c r="G723" s="306">
        <f t="shared" ca="1" si="330"/>
        <v>12.571592781269278</v>
      </c>
      <c r="H723" s="307">
        <f t="shared" ca="1" si="331"/>
        <v>-123.07878895000931</v>
      </c>
      <c r="I723" s="304">
        <f t="shared" ca="1" si="332"/>
        <v>123.71917084453402</v>
      </c>
      <c r="J723" s="306">
        <f t="shared" ca="1" si="333"/>
        <v>780.60585379989482</v>
      </c>
      <c r="K723" s="307">
        <f t="shared" ca="1" si="334"/>
        <v>-5.6935281147184966</v>
      </c>
      <c r="L723" s="304">
        <f t="shared" ca="1" si="319"/>
        <v>780.62661705136327</v>
      </c>
      <c r="M723" s="306">
        <f t="shared" ca="1" si="335"/>
        <v>-1.4690066988772059</v>
      </c>
      <c r="N723" s="304">
        <f t="shared" ca="1" si="336"/>
        <v>-84.167883922109311</v>
      </c>
      <c r="P723" s="310">
        <f t="shared" ca="1" si="337"/>
        <v>23</v>
      </c>
      <c r="Q723" s="304">
        <f t="shared" ca="1" si="338"/>
        <v>0</v>
      </c>
      <c r="R723" s="306">
        <f t="shared" ca="1" si="339"/>
        <v>0</v>
      </c>
      <c r="S723" s="307">
        <f t="shared" ca="1" si="340"/>
        <v>8.0499999999999989</v>
      </c>
      <c r="T723" s="304">
        <f t="shared" ca="1" si="320"/>
        <v>78.970499999999987</v>
      </c>
      <c r="U723" s="311">
        <f t="shared" ca="1" si="321"/>
        <v>0</v>
      </c>
      <c r="V723" s="306">
        <f t="shared" ca="1" si="322"/>
        <v>1.2256976558001988</v>
      </c>
      <c r="W723" s="304">
        <f t="shared" ca="1" si="323"/>
        <v>58.29611907083595</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2.5175061906221323</v>
      </c>
      <c r="AH723" s="304">
        <f t="shared" ca="1" si="347"/>
        <v>-7.2417155370120039</v>
      </c>
    </row>
    <row r="724" spans="1:34" x14ac:dyDescent="0.3">
      <c r="A724" s="347">
        <f t="shared" ca="1" si="325"/>
        <v>1E-4</v>
      </c>
      <c r="B724" s="304">
        <f t="shared" ca="1" si="326"/>
        <v>33.920100000000879</v>
      </c>
      <c r="D724" s="306">
        <f t="shared" ca="1" si="327"/>
        <v>-0.73586317064775109</v>
      </c>
      <c r="E724" s="307">
        <f t="shared" ca="1" si="328"/>
        <v>-2.6057300676187625</v>
      </c>
      <c r="F724" s="304">
        <f t="shared" ca="1" si="329"/>
        <v>2.7076417398186639</v>
      </c>
      <c r="G724" s="306">
        <f t="shared" ca="1" si="330"/>
        <v>12.571519194952213</v>
      </c>
      <c r="H724" s="307">
        <f t="shared" ca="1" si="331"/>
        <v>-123.07904952301607</v>
      </c>
      <c r="I724" s="304">
        <f t="shared" ca="1" si="332"/>
        <v>123.71942259143506</v>
      </c>
      <c r="J724" s="306">
        <f t="shared" ca="1" si="333"/>
        <v>780.60585379989482</v>
      </c>
      <c r="K724" s="307">
        <f t="shared" ca="1" si="334"/>
        <v>-5.7058360066421479</v>
      </c>
      <c r="L724" s="304">
        <f t="shared" ca="1" si="319"/>
        <v>780.62670691643484</v>
      </c>
      <c r="M724" s="306">
        <f t="shared" ca="1" si="335"/>
        <v>-1.4690075045977311</v>
      </c>
      <c r="N724" s="304">
        <f t="shared" ca="1" si="336"/>
        <v>-84.167930086494863</v>
      </c>
      <c r="P724" s="310">
        <f t="shared" ca="1" si="337"/>
        <v>23</v>
      </c>
      <c r="Q724" s="304">
        <f t="shared" ca="1" si="338"/>
        <v>0</v>
      </c>
      <c r="R724" s="306">
        <f t="shared" ca="1" si="339"/>
        <v>0</v>
      </c>
      <c r="S724" s="307">
        <f t="shared" ca="1" si="340"/>
        <v>8.0499999999999989</v>
      </c>
      <c r="T724" s="304">
        <f t="shared" ca="1" si="320"/>
        <v>78.970499999999987</v>
      </c>
      <c r="U724" s="311">
        <f t="shared" ca="1" si="321"/>
        <v>0</v>
      </c>
      <c r="V724" s="306">
        <f t="shared" ca="1" si="322"/>
        <v>1.2256991643766777</v>
      </c>
      <c r="W724" s="304">
        <f t="shared" ca="1" si="323"/>
        <v>58.29642806649057</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2.5174686089709297</v>
      </c>
      <c r="AH724" s="304">
        <f t="shared" ca="1" si="347"/>
        <v>-7.2417539218429763</v>
      </c>
    </row>
    <row r="725" spans="1:34" x14ac:dyDescent="0.3">
      <c r="A725" s="347">
        <f t="shared" ca="1" si="325"/>
        <v>1E-4</v>
      </c>
      <c r="B725" s="304">
        <f t="shared" ca="1" si="326"/>
        <v>33.920200000000882</v>
      </c>
      <c r="D725" s="306">
        <f t="shared" ca="1" si="327"/>
        <v>-0.73586126639441174</v>
      </c>
      <c r="E725" s="307">
        <f t="shared" ca="1" si="328"/>
        <v>-2.6056912888465353</v>
      </c>
      <c r="F725" s="304">
        <f t="shared" ca="1" si="329"/>
        <v>2.7076039031125485</v>
      </c>
      <c r="G725" s="306">
        <f t="shared" ca="1" si="330"/>
        <v>12.571445608825574</v>
      </c>
      <c r="H725" s="307">
        <f t="shared" ca="1" si="331"/>
        <v>-123.07931009214495</v>
      </c>
      <c r="I725" s="304">
        <f t="shared" ca="1" si="332"/>
        <v>123.71967433457797</v>
      </c>
      <c r="J725" s="306">
        <f t="shared" ca="1" si="333"/>
        <v>780.60585379989482</v>
      </c>
      <c r="K725" s="307">
        <f t="shared" ca="1" si="334"/>
        <v>-5.7181439246229058</v>
      </c>
      <c r="L725" s="304">
        <f t="shared" ca="1" si="319"/>
        <v>780.6267969757414</v>
      </c>
      <c r="M725" s="306">
        <f t="shared" ca="1" si="335"/>
        <v>-1.4690083103102609</v>
      </c>
      <c r="N725" s="304">
        <f t="shared" ca="1" si="336"/>
        <v>-84.167976250422328</v>
      </c>
      <c r="P725" s="310">
        <f t="shared" ca="1" si="337"/>
        <v>23</v>
      </c>
      <c r="Q725" s="304">
        <f t="shared" ca="1" si="338"/>
        <v>0</v>
      </c>
      <c r="R725" s="306">
        <f t="shared" ca="1" si="339"/>
        <v>0</v>
      </c>
      <c r="S725" s="307">
        <f t="shared" ca="1" si="340"/>
        <v>8.0499999999999989</v>
      </c>
      <c r="T725" s="304">
        <f t="shared" ca="1" si="320"/>
        <v>78.970499999999987</v>
      </c>
      <c r="U725" s="311">
        <f t="shared" ca="1" si="321"/>
        <v>0</v>
      </c>
      <c r="V725" s="306">
        <f t="shared" ca="1" si="322"/>
        <v>1.2257006729582074</v>
      </c>
      <c r="W725" s="304">
        <f t="shared" ca="1" si="323"/>
        <v>58.296737059910491</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2.5174310275830258</v>
      </c>
      <c r="AH725" s="304">
        <f t="shared" ca="1" si="347"/>
        <v>-7.241792306396345</v>
      </c>
    </row>
    <row r="726" spans="1:34" x14ac:dyDescent="0.3">
      <c r="A726" s="347">
        <f t="shared" ca="1" si="325"/>
        <v>1E-4</v>
      </c>
      <c r="B726" s="304">
        <f t="shared" ca="1" si="326"/>
        <v>33.920300000000886</v>
      </c>
      <c r="D726" s="306">
        <f t="shared" ca="1" si="327"/>
        <v>-0.73585936210845426</v>
      </c>
      <c r="E726" s="307">
        <f t="shared" ca="1" si="328"/>
        <v>-2.6056525103547479</v>
      </c>
      <c r="F726" s="304">
        <f t="shared" ca="1" si="329"/>
        <v>2.7075660666954482</v>
      </c>
      <c r="G726" s="306">
        <f t="shared" ca="1" si="330"/>
        <v>12.571372022889364</v>
      </c>
      <c r="H726" s="307">
        <f t="shared" ca="1" si="331"/>
        <v>-123.07957065739599</v>
      </c>
      <c r="I726" s="304">
        <f t="shared" ca="1" si="332"/>
        <v>123.7199260739628</v>
      </c>
      <c r="J726" s="306">
        <f t="shared" ca="1" si="333"/>
        <v>780.60585379989482</v>
      </c>
      <c r="K726" s="307">
        <f t="shared" ca="1" si="334"/>
        <v>-5.7304518686603831</v>
      </c>
      <c r="L726" s="304">
        <f t="shared" ca="1" si="319"/>
        <v>780.62688722928431</v>
      </c>
      <c r="M726" s="306">
        <f t="shared" ca="1" si="335"/>
        <v>-1.469009116014796</v>
      </c>
      <c r="N726" s="304">
        <f t="shared" ca="1" si="336"/>
        <v>-84.16802241389172</v>
      </c>
      <c r="P726" s="310">
        <f t="shared" ca="1" si="337"/>
        <v>23</v>
      </c>
      <c r="Q726" s="304">
        <f t="shared" ca="1" si="338"/>
        <v>0</v>
      </c>
      <c r="R726" s="306">
        <f t="shared" ca="1" si="339"/>
        <v>0</v>
      </c>
      <c r="S726" s="307">
        <f t="shared" ca="1" si="340"/>
        <v>8.0499999999999989</v>
      </c>
      <c r="T726" s="304">
        <f t="shared" ca="1" si="320"/>
        <v>78.970499999999987</v>
      </c>
      <c r="U726" s="311">
        <f t="shared" ca="1" si="321"/>
        <v>0</v>
      </c>
      <c r="V726" s="306">
        <f t="shared" ca="1" si="322"/>
        <v>1.2257021815447884</v>
      </c>
      <c r="W726" s="304">
        <f t="shared" ca="1" si="323"/>
        <v>58.297046051095769</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2.5173934464584189</v>
      </c>
      <c r="AH726" s="304">
        <f t="shared" ca="1" si="347"/>
        <v>-7.2418306906721117</v>
      </c>
    </row>
    <row r="727" spans="1:34" x14ac:dyDescent="0.3">
      <c r="A727" s="347">
        <f t="shared" ca="1" si="325"/>
        <v>1E-4</v>
      </c>
      <c r="B727" s="304">
        <f t="shared" ca="1" si="326"/>
        <v>33.920400000000889</v>
      </c>
      <c r="D727" s="306">
        <f t="shared" ca="1" si="327"/>
        <v>-0.73585745778987588</v>
      </c>
      <c r="E727" s="307">
        <f t="shared" ca="1" si="328"/>
        <v>-2.6056137321433939</v>
      </c>
      <c r="F727" s="304">
        <f t="shared" ca="1" si="329"/>
        <v>2.7075282305673576</v>
      </c>
      <c r="G727" s="306">
        <f t="shared" ca="1" si="330"/>
        <v>12.571298437143584</v>
      </c>
      <c r="H727" s="307">
        <f t="shared" ca="1" si="331"/>
        <v>-123.0798312187692</v>
      </c>
      <c r="I727" s="304">
        <f t="shared" ca="1" si="332"/>
        <v>123.7201778095895</v>
      </c>
      <c r="J727" s="306">
        <f t="shared" ca="1" si="333"/>
        <v>780.60585379989482</v>
      </c>
      <c r="K727" s="307">
        <f t="shared" ca="1" si="334"/>
        <v>-5.7427598387541918</v>
      </c>
      <c r="L727" s="304">
        <f t="shared" ca="1" si="319"/>
        <v>780.62697767706459</v>
      </c>
      <c r="M727" s="306">
        <f t="shared" ca="1" si="335"/>
        <v>-1.4690099217113362</v>
      </c>
      <c r="N727" s="304">
        <f t="shared" ca="1" si="336"/>
        <v>-84.168068576903039</v>
      </c>
      <c r="P727" s="310">
        <f t="shared" ca="1" si="337"/>
        <v>23</v>
      </c>
      <c r="Q727" s="304">
        <f t="shared" ca="1" si="338"/>
        <v>0</v>
      </c>
      <c r="R727" s="306">
        <f t="shared" ca="1" si="339"/>
        <v>0</v>
      </c>
      <c r="S727" s="307">
        <f t="shared" ca="1" si="340"/>
        <v>8.0499999999999989</v>
      </c>
      <c r="T727" s="304">
        <f t="shared" ca="1" si="320"/>
        <v>78.970499999999987</v>
      </c>
      <c r="U727" s="311">
        <f t="shared" ca="1" si="321"/>
        <v>0</v>
      </c>
      <c r="V727" s="306">
        <f t="shared" ca="1" si="322"/>
        <v>1.2257036901364202</v>
      </c>
      <c r="W727" s="304">
        <f t="shared" ca="1" si="323"/>
        <v>58.29735504004632</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2.5173558655971009</v>
      </c>
      <c r="AH727" s="304">
        <f t="shared" ca="1" si="347"/>
        <v>-7.2418690746702827</v>
      </c>
    </row>
    <row r="728" spans="1:34" x14ac:dyDescent="0.3">
      <c r="A728" s="347">
        <f t="shared" ca="1" si="325"/>
        <v>1E-4</v>
      </c>
      <c r="B728" s="304">
        <f t="shared" ca="1" si="326"/>
        <v>33.920500000000892</v>
      </c>
      <c r="D728" s="306">
        <f t="shared" ca="1" si="327"/>
        <v>-0.73585555343867903</v>
      </c>
      <c r="E728" s="307">
        <f t="shared" ca="1" si="328"/>
        <v>-2.6055749542124849</v>
      </c>
      <c r="F728" s="304">
        <f t="shared" ca="1" si="329"/>
        <v>2.7074903947282873</v>
      </c>
      <c r="G728" s="306">
        <f t="shared" ca="1" si="330"/>
        <v>12.571224851588241</v>
      </c>
      <c r="H728" s="307">
        <f t="shared" ca="1" si="331"/>
        <v>-123.08009177626462</v>
      </c>
      <c r="I728" s="304">
        <f t="shared" ca="1" si="332"/>
        <v>123.72042954145816</v>
      </c>
      <c r="J728" s="306">
        <f t="shared" ca="1" si="333"/>
        <v>780.60585379989482</v>
      </c>
      <c r="K728" s="307">
        <f t="shared" ca="1" si="334"/>
        <v>-5.7550678349039437</v>
      </c>
      <c r="L728" s="304">
        <f t="shared" ca="1" si="319"/>
        <v>780.62706831908349</v>
      </c>
      <c r="M728" s="306">
        <f t="shared" ca="1" si="335"/>
        <v>-1.4690107273998814</v>
      </c>
      <c r="N728" s="304">
        <f t="shared" ca="1" si="336"/>
        <v>-84.168114739456286</v>
      </c>
      <c r="P728" s="310">
        <f t="shared" ca="1" si="337"/>
        <v>23</v>
      </c>
      <c r="Q728" s="304">
        <f t="shared" ca="1" si="338"/>
        <v>0</v>
      </c>
      <c r="R728" s="306">
        <f t="shared" ca="1" si="339"/>
        <v>0</v>
      </c>
      <c r="S728" s="307">
        <f t="shared" ca="1" si="340"/>
        <v>8.0499999999999989</v>
      </c>
      <c r="T728" s="304">
        <f t="shared" ca="1" si="320"/>
        <v>78.970499999999987</v>
      </c>
      <c r="U728" s="311">
        <f t="shared" ca="1" si="321"/>
        <v>0</v>
      </c>
      <c r="V728" s="306">
        <f t="shared" ca="1" si="322"/>
        <v>1.2257051987331031</v>
      </c>
      <c r="W728" s="304">
        <f t="shared" ca="1" si="323"/>
        <v>58.297664026762185</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2.5173182849990852</v>
      </c>
      <c r="AH728" s="304">
        <f t="shared" ca="1" si="347"/>
        <v>-7.2419074583908483</v>
      </c>
    </row>
    <row r="729" spans="1:34" x14ac:dyDescent="0.3">
      <c r="A729" s="347">
        <f t="shared" ca="1" si="325"/>
        <v>1E-4</v>
      </c>
      <c r="B729" s="304">
        <f t="shared" ca="1" si="326"/>
        <v>33.920600000000896</v>
      </c>
      <c r="D729" s="306">
        <f t="shared" ca="1" si="327"/>
        <v>-0.7358536490548655</v>
      </c>
      <c r="E729" s="307">
        <f t="shared" ca="1" si="328"/>
        <v>-2.6055361765620146</v>
      </c>
      <c r="F729" s="304">
        <f t="shared" ca="1" si="329"/>
        <v>2.707452559178233</v>
      </c>
      <c r="G729" s="306">
        <f t="shared" ca="1" si="330"/>
        <v>12.571151266223335</v>
      </c>
      <c r="H729" s="307">
        <f t="shared" ca="1" si="331"/>
        <v>-123.08035232988227</v>
      </c>
      <c r="I729" s="304">
        <f t="shared" ca="1" si="332"/>
        <v>123.72068126956877</v>
      </c>
      <c r="J729" s="306">
        <f t="shared" ca="1" si="333"/>
        <v>780.60585379989482</v>
      </c>
      <c r="K729" s="307">
        <f t="shared" ca="1" si="334"/>
        <v>-5.7673758571092506</v>
      </c>
      <c r="L729" s="304">
        <f t="shared" ca="1" si="319"/>
        <v>780.62715915534216</v>
      </c>
      <c r="M729" s="306">
        <f t="shared" ca="1" si="335"/>
        <v>-1.4690115330804321</v>
      </c>
      <c r="N729" s="304">
        <f t="shared" ca="1" si="336"/>
        <v>-84.168160901551474</v>
      </c>
      <c r="P729" s="310">
        <f t="shared" ca="1" si="337"/>
        <v>23</v>
      </c>
      <c r="Q729" s="304">
        <f t="shared" ca="1" si="338"/>
        <v>0</v>
      </c>
      <c r="R729" s="306">
        <f t="shared" ca="1" si="339"/>
        <v>0</v>
      </c>
      <c r="S729" s="307">
        <f t="shared" ca="1" si="340"/>
        <v>8.0499999999999989</v>
      </c>
      <c r="T729" s="304">
        <f t="shared" ca="1" si="320"/>
        <v>78.970499999999987</v>
      </c>
      <c r="U729" s="311">
        <f t="shared" ca="1" si="321"/>
        <v>0</v>
      </c>
      <c r="V729" s="306">
        <f t="shared" ca="1" si="322"/>
        <v>1.2257067073348373</v>
      </c>
      <c r="W729" s="304">
        <f t="shared" ca="1" si="323"/>
        <v>58.297973011243336</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2.5172807046643655</v>
      </c>
      <c r="AH729" s="304">
        <f t="shared" ca="1" si="347"/>
        <v>-7.2419458418338127</v>
      </c>
    </row>
    <row r="730" spans="1:34" x14ac:dyDescent="0.3">
      <c r="A730" s="347">
        <f t="shared" ca="1" si="325"/>
        <v>1E-4</v>
      </c>
      <c r="B730" s="304">
        <f t="shared" ca="1" si="326"/>
        <v>33.920700000000899</v>
      </c>
      <c r="D730" s="306">
        <f t="shared" ca="1" si="327"/>
        <v>-0.73585174463843339</v>
      </c>
      <c r="E730" s="307">
        <f t="shared" ca="1" si="328"/>
        <v>-2.605497399191985</v>
      </c>
      <c r="F730" s="304">
        <f t="shared" ca="1" si="329"/>
        <v>2.7074147239171955</v>
      </c>
      <c r="G730" s="306">
        <f t="shared" ca="1" si="330"/>
        <v>12.571077681048871</v>
      </c>
      <c r="H730" s="307">
        <f t="shared" ca="1" si="331"/>
        <v>-123.08061287962219</v>
      </c>
      <c r="I730" s="304">
        <f t="shared" ca="1" si="332"/>
        <v>123.72093299392139</v>
      </c>
      <c r="J730" s="306">
        <f t="shared" ca="1" si="333"/>
        <v>780.60585379989482</v>
      </c>
      <c r="K730" s="307">
        <f t="shared" ca="1" si="334"/>
        <v>-5.7796839053697262</v>
      </c>
      <c r="L730" s="304">
        <f t="shared" ca="1" si="319"/>
        <v>780.62725018584172</v>
      </c>
      <c r="M730" s="306">
        <f t="shared" ca="1" si="335"/>
        <v>-1.4690123387529881</v>
      </c>
      <c r="N730" s="304">
        <f t="shared" ca="1" si="336"/>
        <v>-84.168207063188603</v>
      </c>
      <c r="P730" s="310">
        <f t="shared" ca="1" si="337"/>
        <v>23</v>
      </c>
      <c r="Q730" s="304">
        <f t="shared" ca="1" si="338"/>
        <v>0</v>
      </c>
      <c r="R730" s="306">
        <f t="shared" ca="1" si="339"/>
        <v>0</v>
      </c>
      <c r="S730" s="307">
        <f t="shared" ca="1" si="340"/>
        <v>8.0499999999999989</v>
      </c>
      <c r="T730" s="304">
        <f t="shared" ca="1" si="320"/>
        <v>78.970499999999987</v>
      </c>
      <c r="U730" s="311">
        <f t="shared" ca="1" si="321"/>
        <v>0</v>
      </c>
      <c r="V730" s="306">
        <f t="shared" ca="1" si="322"/>
        <v>1.2257082159416217</v>
      </c>
      <c r="W730" s="304">
        <f t="shared" ca="1" si="323"/>
        <v>58.298281993489752</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2.5172431245929463</v>
      </c>
      <c r="AH730" s="304">
        <f t="shared" ca="1" si="347"/>
        <v>-7.2419842249991735</v>
      </c>
    </row>
    <row r="731" spans="1:34" x14ac:dyDescent="0.3">
      <c r="A731" s="347">
        <f t="shared" ca="1" si="325"/>
        <v>1E-4</v>
      </c>
      <c r="B731" s="304">
        <f t="shared" ca="1" si="326"/>
        <v>33.920800000000902</v>
      </c>
      <c r="D731" s="306">
        <f t="shared" ca="1" si="327"/>
        <v>-0.7358498401893856</v>
      </c>
      <c r="E731" s="307">
        <f t="shared" ca="1" si="328"/>
        <v>-2.605458622102403</v>
      </c>
      <c r="F731" s="304">
        <f t="shared" ca="1" si="329"/>
        <v>2.7073768889451828</v>
      </c>
      <c r="G731" s="306">
        <f t="shared" ca="1" si="330"/>
        <v>12.571004096064852</v>
      </c>
      <c r="H731" s="307">
        <f t="shared" ca="1" si="331"/>
        <v>-123.0808734254844</v>
      </c>
      <c r="I731" s="304">
        <f t="shared" ca="1" si="332"/>
        <v>123.72118471451601</v>
      </c>
      <c r="J731" s="306">
        <f t="shared" ca="1" si="333"/>
        <v>780.60585379989482</v>
      </c>
      <c r="K731" s="307">
        <f t="shared" ca="1" si="334"/>
        <v>-5.7919919796849815</v>
      </c>
      <c r="L731" s="304">
        <f t="shared" ca="1" si="319"/>
        <v>780.62734141058331</v>
      </c>
      <c r="M731" s="306">
        <f t="shared" ca="1" si="335"/>
        <v>-1.4690131444175498</v>
      </c>
      <c r="N731" s="304">
        <f t="shared" ca="1" si="336"/>
        <v>-84.168253224367689</v>
      </c>
      <c r="P731" s="310">
        <f t="shared" ca="1" si="337"/>
        <v>23</v>
      </c>
      <c r="Q731" s="304">
        <f t="shared" ca="1" si="338"/>
        <v>0</v>
      </c>
      <c r="R731" s="306">
        <f t="shared" ca="1" si="339"/>
        <v>0</v>
      </c>
      <c r="S731" s="307">
        <f t="shared" ca="1" si="340"/>
        <v>8.0499999999999989</v>
      </c>
      <c r="T731" s="304">
        <f t="shared" ca="1" si="320"/>
        <v>78.970499999999987</v>
      </c>
      <c r="U731" s="311">
        <f t="shared" ca="1" si="321"/>
        <v>0</v>
      </c>
      <c r="V731" s="306">
        <f t="shared" ca="1" si="322"/>
        <v>1.2257097245534574</v>
      </c>
      <c r="W731" s="304">
        <f t="shared" ca="1" si="323"/>
        <v>58.298590973501454</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2.5172055447848294</v>
      </c>
      <c r="AH731" s="304">
        <f t="shared" ca="1" si="347"/>
        <v>-7.242022607886927</v>
      </c>
    </row>
    <row r="732" spans="1:34" x14ac:dyDescent="0.3">
      <c r="A732" s="347">
        <f t="shared" ca="1" si="325"/>
        <v>1E-4</v>
      </c>
      <c r="B732" s="304">
        <f t="shared" ca="1" si="326"/>
        <v>33.920900000000906</v>
      </c>
      <c r="D732" s="306">
        <f t="shared" ca="1" si="327"/>
        <v>-0.735847935707721</v>
      </c>
      <c r="E732" s="307">
        <f t="shared" ca="1" si="328"/>
        <v>-2.6054198452932624</v>
      </c>
      <c r="F732" s="304">
        <f t="shared" ca="1" si="329"/>
        <v>2.7073390542621887</v>
      </c>
      <c r="G732" s="306">
        <f t="shared" ca="1" si="330"/>
        <v>12.570930511271282</v>
      </c>
      <c r="H732" s="307">
        <f t="shared" ca="1" si="331"/>
        <v>-123.08113396746893</v>
      </c>
      <c r="I732" s="304">
        <f t="shared" ca="1" si="332"/>
        <v>123.72143643135269</v>
      </c>
      <c r="J732" s="306">
        <f t="shared" ca="1" si="333"/>
        <v>780.60585379989482</v>
      </c>
      <c r="K732" s="307">
        <f t="shared" ca="1" si="334"/>
        <v>-5.8043000800546292</v>
      </c>
      <c r="L732" s="304">
        <f t="shared" ca="1" si="319"/>
        <v>780.62743282956819</v>
      </c>
      <c r="M732" s="306">
        <f t="shared" ca="1" si="335"/>
        <v>-1.4690139500741173</v>
      </c>
      <c r="N732" s="304">
        <f t="shared" ca="1" si="336"/>
        <v>-84.168299385088744</v>
      </c>
      <c r="P732" s="310">
        <f t="shared" ca="1" si="337"/>
        <v>23</v>
      </c>
      <c r="Q732" s="304">
        <f t="shared" ca="1" si="338"/>
        <v>0</v>
      </c>
      <c r="R732" s="306">
        <f t="shared" ca="1" si="339"/>
        <v>0</v>
      </c>
      <c r="S732" s="307">
        <f t="shared" ca="1" si="340"/>
        <v>8.0499999999999989</v>
      </c>
      <c r="T732" s="304">
        <f t="shared" ca="1" si="320"/>
        <v>78.970499999999987</v>
      </c>
      <c r="U732" s="311">
        <f t="shared" ca="1" si="321"/>
        <v>0</v>
      </c>
      <c r="V732" s="306">
        <f t="shared" ca="1" si="322"/>
        <v>1.2257112331703439</v>
      </c>
      <c r="W732" s="304">
        <f t="shared" ca="1" si="323"/>
        <v>58.298899951278422</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2.5171679652400156</v>
      </c>
      <c r="AH732" s="304">
        <f t="shared" ca="1" si="347"/>
        <v>-7.2420609904970759</v>
      </c>
    </row>
    <row r="733" spans="1:34" x14ac:dyDescent="0.3">
      <c r="A733" s="347">
        <f t="shared" ca="1" si="325"/>
        <v>1E-4</v>
      </c>
      <c r="B733" s="304">
        <f t="shared" ca="1" si="326"/>
        <v>33.921000000000909</v>
      </c>
      <c r="D733" s="306">
        <f t="shared" ca="1" si="327"/>
        <v>-0.73584603119344072</v>
      </c>
      <c r="E733" s="307">
        <f t="shared" ca="1" si="328"/>
        <v>-2.605381068764566</v>
      </c>
      <c r="F733" s="304">
        <f t="shared" ca="1" si="329"/>
        <v>2.7073012198682163</v>
      </c>
      <c r="G733" s="306">
        <f t="shared" ca="1" si="330"/>
        <v>12.570856926668162</v>
      </c>
      <c r="H733" s="307">
        <f t="shared" ca="1" si="331"/>
        <v>-123.0813945055758</v>
      </c>
      <c r="I733" s="304">
        <f t="shared" ca="1" si="332"/>
        <v>123.72168814443144</v>
      </c>
      <c r="J733" s="306">
        <f t="shared" ca="1" si="333"/>
        <v>780.60585379989482</v>
      </c>
      <c r="K733" s="307">
        <f t="shared" ca="1" si="334"/>
        <v>-5.8166082064782811</v>
      </c>
      <c r="L733" s="304">
        <f t="shared" ca="1" si="319"/>
        <v>780.62752444279749</v>
      </c>
      <c r="M733" s="306">
        <f t="shared" ca="1" si="335"/>
        <v>-1.4690147557226905</v>
      </c>
      <c r="N733" s="304">
        <f t="shared" ca="1" si="336"/>
        <v>-84.168345545351755</v>
      </c>
      <c r="P733" s="310">
        <f t="shared" ca="1" si="337"/>
        <v>23</v>
      </c>
      <c r="Q733" s="304">
        <f t="shared" ca="1" si="338"/>
        <v>0</v>
      </c>
      <c r="R733" s="306">
        <f t="shared" ca="1" si="339"/>
        <v>0</v>
      </c>
      <c r="S733" s="307">
        <f t="shared" ca="1" si="340"/>
        <v>8.0499999999999989</v>
      </c>
      <c r="T733" s="304">
        <f t="shared" ca="1" si="320"/>
        <v>78.970499999999987</v>
      </c>
      <c r="U733" s="311">
        <f t="shared" ca="1" si="321"/>
        <v>0</v>
      </c>
      <c r="V733" s="306">
        <f t="shared" ca="1" si="322"/>
        <v>1.2257127417922815</v>
      </c>
      <c r="W733" s="304">
        <f t="shared" ca="1" si="323"/>
        <v>58.299208926820683</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2.5171303859585032</v>
      </c>
      <c r="AH733" s="304">
        <f t="shared" ca="1" si="347"/>
        <v>-7.2420993728296184</v>
      </c>
    </row>
    <row r="734" spans="1:34" x14ac:dyDescent="0.3">
      <c r="A734" s="347">
        <f t="shared" ca="1" si="325"/>
        <v>1E-4</v>
      </c>
      <c r="B734" s="304">
        <f t="shared" ca="1" si="326"/>
        <v>33.921100000000912</v>
      </c>
      <c r="D734" s="306">
        <f t="shared" ca="1" si="327"/>
        <v>-0.73584412664654697</v>
      </c>
      <c r="E734" s="307">
        <f t="shared" ca="1" si="328"/>
        <v>-2.605342292516311</v>
      </c>
      <c r="F734" s="304">
        <f t="shared" ca="1" si="329"/>
        <v>2.7072633857632629</v>
      </c>
      <c r="G734" s="306">
        <f t="shared" ca="1" si="330"/>
        <v>12.570783342255497</v>
      </c>
      <c r="H734" s="307">
        <f t="shared" ca="1" si="331"/>
        <v>-123.08165503980506</v>
      </c>
      <c r="I734" s="304">
        <f t="shared" ca="1" si="332"/>
        <v>123.72193985375229</v>
      </c>
      <c r="J734" s="306">
        <f t="shared" ca="1" si="333"/>
        <v>780.60585379989482</v>
      </c>
      <c r="K734" s="307">
        <f t="shared" ca="1" si="334"/>
        <v>-5.8289163589555502</v>
      </c>
      <c r="L734" s="304">
        <f t="shared" ca="1" si="319"/>
        <v>780.62761625027235</v>
      </c>
      <c r="M734" s="306">
        <f t="shared" ca="1" si="335"/>
        <v>-1.4690155613632696</v>
      </c>
      <c r="N734" s="304">
        <f t="shared" ca="1" si="336"/>
        <v>-84.168391705156751</v>
      </c>
      <c r="P734" s="310">
        <f t="shared" ca="1" si="337"/>
        <v>23</v>
      </c>
      <c r="Q734" s="304">
        <f t="shared" ca="1" si="338"/>
        <v>0</v>
      </c>
      <c r="R734" s="306">
        <f t="shared" ca="1" si="339"/>
        <v>0</v>
      </c>
      <c r="S734" s="307">
        <f t="shared" ca="1" si="340"/>
        <v>8.0499999999999989</v>
      </c>
      <c r="T734" s="304">
        <f t="shared" ca="1" si="320"/>
        <v>78.970499999999987</v>
      </c>
      <c r="U734" s="311">
        <f t="shared" ca="1" si="321"/>
        <v>0</v>
      </c>
      <c r="V734" s="306">
        <f t="shared" ca="1" si="322"/>
        <v>1.2257142504192695</v>
      </c>
      <c r="W734" s="304">
        <f t="shared" ca="1" si="323"/>
        <v>58.299517900128194</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2.5170928069402922</v>
      </c>
      <c r="AH734" s="304">
        <f t="shared" ca="1" si="347"/>
        <v>-7.242137754884558</v>
      </c>
    </row>
    <row r="735" spans="1:34" x14ac:dyDescent="0.3">
      <c r="A735" s="347">
        <f t="shared" ca="1" si="325"/>
        <v>1E-4</v>
      </c>
      <c r="B735" s="304">
        <f t="shared" ca="1" si="326"/>
        <v>33.921200000000916</v>
      </c>
      <c r="D735" s="306">
        <f t="shared" ca="1" si="327"/>
        <v>-0.73584222206703886</v>
      </c>
      <c r="E735" s="307">
        <f t="shared" ca="1" si="328"/>
        <v>-2.6053035165485037</v>
      </c>
      <c r="F735" s="304">
        <f t="shared" ca="1" si="329"/>
        <v>2.7072255519473356</v>
      </c>
      <c r="G735" s="306">
        <f t="shared" ca="1" si="330"/>
        <v>12.57070975803329</v>
      </c>
      <c r="H735" s="307">
        <f t="shared" ca="1" si="331"/>
        <v>-123.08191557015671</v>
      </c>
      <c r="I735" s="304">
        <f t="shared" ca="1" si="332"/>
        <v>123.72219155931525</v>
      </c>
      <c r="J735" s="306">
        <f t="shared" ca="1" si="333"/>
        <v>780.60585379989482</v>
      </c>
      <c r="K735" s="307">
        <f t="shared" ca="1" si="334"/>
        <v>-5.8412245374860481</v>
      </c>
      <c r="L735" s="304">
        <f t="shared" ca="1" si="319"/>
        <v>780.62770825199379</v>
      </c>
      <c r="M735" s="306">
        <f t="shared" ca="1" si="335"/>
        <v>-1.4690163669958549</v>
      </c>
      <c r="N735" s="304">
        <f t="shared" ca="1" si="336"/>
        <v>-84.16843786450373</v>
      </c>
      <c r="P735" s="310">
        <f t="shared" ca="1" si="337"/>
        <v>23</v>
      </c>
      <c r="Q735" s="304">
        <f t="shared" ca="1" si="338"/>
        <v>0</v>
      </c>
      <c r="R735" s="306">
        <f t="shared" ca="1" si="339"/>
        <v>0</v>
      </c>
      <c r="S735" s="307">
        <f t="shared" ca="1" si="340"/>
        <v>8.0499999999999989</v>
      </c>
      <c r="T735" s="304">
        <f t="shared" ca="1" si="320"/>
        <v>78.970499999999987</v>
      </c>
      <c r="U735" s="311">
        <f t="shared" ca="1" si="321"/>
        <v>0</v>
      </c>
      <c r="V735" s="306">
        <f t="shared" ca="1" si="322"/>
        <v>1.2257157590513088</v>
      </c>
      <c r="W735" s="304">
        <f t="shared" ca="1" si="323"/>
        <v>58.299826871200949</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2.5170552281853871</v>
      </c>
      <c r="AH735" s="304">
        <f t="shared" ca="1" si="347"/>
        <v>-7.2421761366618886</v>
      </c>
    </row>
    <row r="736" spans="1:34" x14ac:dyDescent="0.3">
      <c r="A736" s="347">
        <f t="shared" ca="1" si="325"/>
        <v>1E-4</v>
      </c>
      <c r="B736" s="304">
        <f t="shared" ca="1" si="326"/>
        <v>33.921300000000919</v>
      </c>
      <c r="D736" s="306">
        <f t="shared" ca="1" si="327"/>
        <v>-0.73584031745491651</v>
      </c>
      <c r="E736" s="307">
        <f t="shared" ca="1" si="328"/>
        <v>-2.6052647408611449</v>
      </c>
      <c r="F736" s="304">
        <f t="shared" ca="1" si="329"/>
        <v>2.7071877184204349</v>
      </c>
      <c r="G736" s="306">
        <f t="shared" ca="1" si="330"/>
        <v>12.570636174001544</v>
      </c>
      <c r="H736" s="307">
        <f t="shared" ca="1" si="331"/>
        <v>-123.08217609663079</v>
      </c>
      <c r="I736" s="304">
        <f t="shared" ca="1" si="332"/>
        <v>123.72244326112036</v>
      </c>
      <c r="J736" s="306">
        <f t="shared" ca="1" si="333"/>
        <v>780.60585379989482</v>
      </c>
      <c r="K736" s="307">
        <f t="shared" ca="1" si="334"/>
        <v>-5.8535327420693877</v>
      </c>
      <c r="L736" s="304">
        <f t="shared" ca="1" si="319"/>
        <v>780.6278004479633</v>
      </c>
      <c r="M736" s="306">
        <f t="shared" ca="1" si="335"/>
        <v>-1.4690171726204464</v>
      </c>
      <c r="N736" s="304">
        <f t="shared" ca="1" si="336"/>
        <v>-84.168484023392693</v>
      </c>
      <c r="P736" s="310">
        <f t="shared" ca="1" si="337"/>
        <v>23</v>
      </c>
      <c r="Q736" s="304">
        <f t="shared" ca="1" si="338"/>
        <v>0</v>
      </c>
      <c r="R736" s="306">
        <f t="shared" ca="1" si="339"/>
        <v>0</v>
      </c>
      <c r="S736" s="307">
        <f t="shared" ca="1" si="340"/>
        <v>8.0499999999999989</v>
      </c>
      <c r="T736" s="304">
        <f t="shared" ca="1" si="320"/>
        <v>78.970499999999987</v>
      </c>
      <c r="U736" s="311">
        <f t="shared" ca="1" si="321"/>
        <v>0</v>
      </c>
      <c r="V736" s="306">
        <f t="shared" ca="1" si="322"/>
        <v>1.2257172676883983</v>
      </c>
      <c r="W736" s="304">
        <f t="shared" ca="1" si="323"/>
        <v>58.300135840038941</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2.5170176496937904</v>
      </c>
      <c r="AH736" s="304">
        <f t="shared" ca="1" si="347"/>
        <v>-7.2422145181616093</v>
      </c>
    </row>
    <row r="737" spans="1:34" x14ac:dyDescent="0.3">
      <c r="A737" s="347">
        <f t="shared" ca="1" si="325"/>
        <v>1E-4</v>
      </c>
      <c r="B737" s="304">
        <f t="shared" ca="1" si="326"/>
        <v>33.921400000000922</v>
      </c>
      <c r="D737" s="306">
        <f t="shared" ca="1" si="327"/>
        <v>-0.73583841281018125</v>
      </c>
      <c r="E737" s="307">
        <f t="shared" ca="1" si="328"/>
        <v>-2.6052259654542338</v>
      </c>
      <c r="F737" s="304">
        <f t="shared" ca="1" si="329"/>
        <v>2.7071498851825604</v>
      </c>
      <c r="G737" s="306">
        <f t="shared" ca="1" si="330"/>
        <v>12.570562590160263</v>
      </c>
      <c r="H737" s="307">
        <f t="shared" ca="1" si="331"/>
        <v>-123.08243661922734</v>
      </c>
      <c r="I737" s="304">
        <f t="shared" ca="1" si="332"/>
        <v>123.72269495916767</v>
      </c>
      <c r="J737" s="306">
        <f t="shared" ca="1" si="333"/>
        <v>780.60585379989482</v>
      </c>
      <c r="K737" s="307">
        <f t="shared" ca="1" si="334"/>
        <v>-5.8658409727051808</v>
      </c>
      <c r="L737" s="304">
        <f t="shared" ca="1" si="319"/>
        <v>780.62789283818177</v>
      </c>
      <c r="M737" s="306">
        <f t="shared" ca="1" si="335"/>
        <v>-1.4690179782370441</v>
      </c>
      <c r="N737" s="304">
        <f t="shared" ca="1" si="336"/>
        <v>-84.168530181823641</v>
      </c>
      <c r="P737" s="310">
        <f t="shared" ca="1" si="337"/>
        <v>23</v>
      </c>
      <c r="Q737" s="304">
        <f t="shared" ca="1" si="338"/>
        <v>0</v>
      </c>
      <c r="R737" s="306">
        <f t="shared" ca="1" si="339"/>
        <v>0</v>
      </c>
      <c r="S737" s="307">
        <f t="shared" ca="1" si="340"/>
        <v>8.0499999999999989</v>
      </c>
      <c r="T737" s="304">
        <f t="shared" ca="1" si="320"/>
        <v>78.970499999999987</v>
      </c>
      <c r="U737" s="311">
        <f t="shared" ca="1" si="321"/>
        <v>0</v>
      </c>
      <c r="V737" s="306">
        <f t="shared" ca="1" si="322"/>
        <v>1.2257187763305391</v>
      </c>
      <c r="W737" s="304">
        <f t="shared" ca="1" si="323"/>
        <v>58.300444806642197</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2.5169800714655022</v>
      </c>
      <c r="AH737" s="304">
        <f t="shared" ca="1" si="347"/>
        <v>-7.2422528993837201</v>
      </c>
    </row>
    <row r="738" spans="1:34" x14ac:dyDescent="0.3">
      <c r="A738" s="347">
        <f t="shared" ca="1" si="325"/>
        <v>1E-4</v>
      </c>
      <c r="B738" s="304">
        <f t="shared" ca="1" si="326"/>
        <v>33.921500000000925</v>
      </c>
      <c r="D738" s="306">
        <f t="shared" ca="1" si="327"/>
        <v>-0.73583650813283541</v>
      </c>
      <c r="E738" s="307">
        <f t="shared" ca="1" si="328"/>
        <v>-2.6051871903277668</v>
      </c>
      <c r="F738" s="304">
        <f t="shared" ca="1" si="329"/>
        <v>2.7071120522337098</v>
      </c>
      <c r="G738" s="306">
        <f t="shared" ca="1" si="330"/>
        <v>12.570489006509449</v>
      </c>
      <c r="H738" s="307">
        <f t="shared" ca="1" si="331"/>
        <v>-123.08269713794637</v>
      </c>
      <c r="I738" s="304">
        <f t="shared" ca="1" si="332"/>
        <v>123.72294665345716</v>
      </c>
      <c r="J738" s="306">
        <f t="shared" ca="1" si="333"/>
        <v>780.60585379989482</v>
      </c>
      <c r="K738" s="307">
        <f t="shared" ca="1" si="334"/>
        <v>-5.8781492293930393</v>
      </c>
      <c r="L738" s="304">
        <f t="shared" ca="1" si="319"/>
        <v>780.62798542265045</v>
      </c>
      <c r="M738" s="306">
        <f t="shared" ca="1" si="335"/>
        <v>-1.4690187838456483</v>
      </c>
      <c r="N738" s="304">
        <f t="shared" ca="1" si="336"/>
        <v>-84.168576339796601</v>
      </c>
      <c r="P738" s="310">
        <f t="shared" ca="1" si="337"/>
        <v>23</v>
      </c>
      <c r="Q738" s="304">
        <f t="shared" ca="1" si="338"/>
        <v>0</v>
      </c>
      <c r="R738" s="306">
        <f t="shared" ca="1" si="339"/>
        <v>0</v>
      </c>
      <c r="S738" s="307">
        <f t="shared" ca="1" si="340"/>
        <v>8.0499999999999989</v>
      </c>
      <c r="T738" s="304">
        <f t="shared" ca="1" si="320"/>
        <v>78.970499999999987</v>
      </c>
      <c r="U738" s="311">
        <f t="shared" ca="1" si="321"/>
        <v>0</v>
      </c>
      <c r="V738" s="306">
        <f t="shared" ca="1" si="322"/>
        <v>1.22572028497773</v>
      </c>
      <c r="W738" s="304">
        <f t="shared" ca="1" si="323"/>
        <v>58.300753771010648</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2.5169424935005171</v>
      </c>
      <c r="AH738" s="304">
        <f t="shared" ca="1" si="347"/>
        <v>-7.2422912803282244</v>
      </c>
    </row>
    <row r="739" spans="1:34" x14ac:dyDescent="0.3">
      <c r="A739" s="347">
        <f t="shared" ca="1" si="325"/>
        <v>1E-4</v>
      </c>
      <c r="B739" s="304">
        <f t="shared" ca="1" si="326"/>
        <v>33.921600000000929</v>
      </c>
      <c r="D739" s="306">
        <f t="shared" ca="1" si="327"/>
        <v>-0.73583460342287599</v>
      </c>
      <c r="E739" s="307">
        <f t="shared" ca="1" si="328"/>
        <v>-2.6051484154817546</v>
      </c>
      <c r="F739" s="304">
        <f t="shared" ca="1" si="329"/>
        <v>2.7070742195738924</v>
      </c>
      <c r="G739" s="306">
        <f t="shared" ca="1" si="330"/>
        <v>12.570415423049107</v>
      </c>
      <c r="H739" s="307">
        <f t="shared" ca="1" si="331"/>
        <v>-123.08295765278791</v>
      </c>
      <c r="I739" s="304">
        <f t="shared" ca="1" si="332"/>
        <v>123.72319834398888</v>
      </c>
      <c r="J739" s="306">
        <f t="shared" ca="1" si="333"/>
        <v>780.60585379989482</v>
      </c>
      <c r="K739" s="307">
        <f t="shared" ca="1" si="334"/>
        <v>-5.890457512132576</v>
      </c>
      <c r="L739" s="304">
        <f t="shared" ca="1" si="319"/>
        <v>780.6280782013705</v>
      </c>
      <c r="M739" s="306">
        <f t="shared" ca="1" si="335"/>
        <v>-1.469019589446259</v>
      </c>
      <c r="N739" s="304">
        <f t="shared" ca="1" si="336"/>
        <v>-84.168622497311574</v>
      </c>
      <c r="P739" s="310">
        <f t="shared" ca="1" si="337"/>
        <v>23</v>
      </c>
      <c r="Q739" s="304">
        <f t="shared" ca="1" si="338"/>
        <v>0</v>
      </c>
      <c r="R739" s="306">
        <f t="shared" ca="1" si="339"/>
        <v>0</v>
      </c>
      <c r="S739" s="307">
        <f t="shared" ca="1" si="340"/>
        <v>8.0499999999999989</v>
      </c>
      <c r="T739" s="304">
        <f t="shared" ca="1" si="320"/>
        <v>78.970499999999987</v>
      </c>
      <c r="U739" s="311">
        <f t="shared" ca="1" si="321"/>
        <v>0</v>
      </c>
      <c r="V739" s="306">
        <f t="shared" ca="1" si="322"/>
        <v>1.225721793629972</v>
      </c>
      <c r="W739" s="304">
        <f t="shared" ca="1" si="323"/>
        <v>58.301062733144363</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2.5169049157988486</v>
      </c>
      <c r="AH739" s="304">
        <f t="shared" ca="1" si="347"/>
        <v>-7.2423296609951127</v>
      </c>
    </row>
    <row r="740" spans="1:34" x14ac:dyDescent="0.3">
      <c r="A740" s="347">
        <f t="shared" ca="1" si="325"/>
        <v>1E-4</v>
      </c>
      <c r="B740" s="304">
        <f t="shared" ca="1" si="326"/>
        <v>33.921700000000932</v>
      </c>
      <c r="D740" s="306">
        <f t="shared" ca="1" si="327"/>
        <v>-0.73583269868030732</v>
      </c>
      <c r="E740" s="307">
        <f t="shared" ca="1" si="328"/>
        <v>-2.6051096409161882</v>
      </c>
      <c r="F740" s="304">
        <f t="shared" ca="1" si="329"/>
        <v>2.7070363872031007</v>
      </c>
      <c r="G740" s="306">
        <f t="shared" ca="1" si="330"/>
        <v>12.570341839779239</v>
      </c>
      <c r="H740" s="307">
        <f t="shared" ca="1" si="331"/>
        <v>-123.08321816375201</v>
      </c>
      <c r="I740" s="304">
        <f t="shared" ca="1" si="332"/>
        <v>123.72345003076288</v>
      </c>
      <c r="J740" s="306">
        <f t="shared" ca="1" si="333"/>
        <v>780.60585379989482</v>
      </c>
      <c r="K740" s="307">
        <f t="shared" ca="1" si="334"/>
        <v>-5.9027658209234026</v>
      </c>
      <c r="L740" s="304">
        <f t="shared" ca="1" si="319"/>
        <v>780.62817117434304</v>
      </c>
      <c r="M740" s="306">
        <f t="shared" ca="1" si="335"/>
        <v>-1.4690203950388763</v>
      </c>
      <c r="N740" s="304">
        <f t="shared" ca="1" si="336"/>
        <v>-84.168668654368545</v>
      </c>
      <c r="P740" s="310">
        <f t="shared" ca="1" si="337"/>
        <v>23</v>
      </c>
      <c r="Q740" s="304">
        <f t="shared" ca="1" si="338"/>
        <v>0</v>
      </c>
      <c r="R740" s="306">
        <f t="shared" ca="1" si="339"/>
        <v>0</v>
      </c>
      <c r="S740" s="307">
        <f t="shared" ca="1" si="340"/>
        <v>8.0499999999999989</v>
      </c>
      <c r="T740" s="304">
        <f t="shared" ca="1" si="320"/>
        <v>78.970499999999987</v>
      </c>
      <c r="U740" s="311">
        <f t="shared" ca="1" si="321"/>
        <v>0</v>
      </c>
      <c r="V740" s="306">
        <f t="shared" ca="1" si="322"/>
        <v>1.2257233022872642</v>
      </c>
      <c r="W740" s="304">
        <f t="shared" ca="1" si="323"/>
        <v>58.301371693043279</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2.5168673383604858</v>
      </c>
      <c r="AH740" s="304">
        <f t="shared" ca="1" si="347"/>
        <v>-7.2423680413843936</v>
      </c>
    </row>
    <row r="741" spans="1:34" x14ac:dyDescent="0.3">
      <c r="A741" s="347">
        <f t="shared" ca="1" si="325"/>
        <v>1E-4</v>
      </c>
      <c r="B741" s="304">
        <f t="shared" ca="1" si="326"/>
        <v>33.921800000000935</v>
      </c>
      <c r="D741" s="306">
        <f t="shared" ca="1" si="327"/>
        <v>-0.73583079390512873</v>
      </c>
      <c r="E741" s="307">
        <f t="shared" ca="1" si="328"/>
        <v>-2.605070866631074</v>
      </c>
      <c r="F741" s="304">
        <f t="shared" ca="1" si="329"/>
        <v>2.7069985551213409</v>
      </c>
      <c r="G741" s="306">
        <f t="shared" ca="1" si="330"/>
        <v>12.570268256699849</v>
      </c>
      <c r="H741" s="307">
        <f t="shared" ca="1" si="331"/>
        <v>-123.08347867083867</v>
      </c>
      <c r="I741" s="304">
        <f t="shared" ca="1" si="332"/>
        <v>123.72370171377914</v>
      </c>
      <c r="J741" s="306">
        <f t="shared" ca="1" si="333"/>
        <v>780.60585379989482</v>
      </c>
      <c r="K741" s="307">
        <f t="shared" ca="1" si="334"/>
        <v>-5.9150741557651321</v>
      </c>
      <c r="L741" s="304">
        <f t="shared" ca="1" si="319"/>
        <v>780.62826434156921</v>
      </c>
      <c r="M741" s="306">
        <f t="shared" ca="1" si="335"/>
        <v>-1.4690212006235004</v>
      </c>
      <c r="N741" s="304">
        <f t="shared" ca="1" si="336"/>
        <v>-84.168714810967543</v>
      </c>
      <c r="P741" s="310">
        <f t="shared" ca="1" si="337"/>
        <v>23</v>
      </c>
      <c r="Q741" s="304">
        <f t="shared" ca="1" si="338"/>
        <v>0</v>
      </c>
      <c r="R741" s="306">
        <f t="shared" ca="1" si="339"/>
        <v>0</v>
      </c>
      <c r="S741" s="307">
        <f t="shared" ca="1" si="340"/>
        <v>8.0499999999999989</v>
      </c>
      <c r="T741" s="304">
        <f t="shared" ca="1" si="320"/>
        <v>78.970499999999987</v>
      </c>
      <c r="U741" s="311">
        <f t="shared" ca="1" si="321"/>
        <v>0</v>
      </c>
      <c r="V741" s="306">
        <f t="shared" ca="1" si="322"/>
        <v>1.2257248109496068</v>
      </c>
      <c r="W741" s="304">
        <f t="shared" ca="1" si="323"/>
        <v>58.301680650707382</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2.516829761185436</v>
      </c>
      <c r="AH741" s="304">
        <f t="shared" ca="1" si="347"/>
        <v>-7.2424064214960602</v>
      </c>
    </row>
    <row r="742" spans="1:34" x14ac:dyDescent="0.3">
      <c r="A742" s="347">
        <f t="shared" ca="1" si="325"/>
        <v>1E-4</v>
      </c>
      <c r="B742" s="304">
        <f t="shared" ca="1" si="326"/>
        <v>33.921900000000939</v>
      </c>
      <c r="D742" s="306">
        <f t="shared" ca="1" si="327"/>
        <v>-0.73582888909733979</v>
      </c>
      <c r="E742" s="307">
        <f t="shared" ca="1" si="328"/>
        <v>-2.6050320926264137</v>
      </c>
      <c r="F742" s="304">
        <f t="shared" ca="1" si="329"/>
        <v>2.7069607233286148</v>
      </c>
      <c r="G742" s="306">
        <f t="shared" ca="1" si="330"/>
        <v>12.57019467381094</v>
      </c>
      <c r="H742" s="307">
        <f t="shared" ca="1" si="331"/>
        <v>-123.08373917404793</v>
      </c>
      <c r="I742" s="304">
        <f t="shared" ca="1" si="332"/>
        <v>123.7239533930377</v>
      </c>
      <c r="J742" s="306">
        <f t="shared" ca="1" si="333"/>
        <v>780.60585379989482</v>
      </c>
      <c r="K742" s="307">
        <f t="shared" ca="1" si="334"/>
        <v>-5.9273825166573761</v>
      </c>
      <c r="L742" s="304">
        <f t="shared" ca="1" si="319"/>
        <v>780.62835770305037</v>
      </c>
      <c r="M742" s="306">
        <f t="shared" ca="1" si="335"/>
        <v>-1.4690220062001313</v>
      </c>
      <c r="N742" s="304">
        <f t="shared" ca="1" si="336"/>
        <v>-84.168760967108582</v>
      </c>
      <c r="P742" s="310">
        <f t="shared" ca="1" si="337"/>
        <v>23</v>
      </c>
      <c r="Q742" s="304">
        <f t="shared" ca="1" si="338"/>
        <v>0</v>
      </c>
      <c r="R742" s="306">
        <f t="shared" ca="1" si="339"/>
        <v>0</v>
      </c>
      <c r="S742" s="307">
        <f t="shared" ca="1" si="340"/>
        <v>8.0499999999999989</v>
      </c>
      <c r="T742" s="304">
        <f t="shared" ca="1" si="320"/>
        <v>78.970499999999987</v>
      </c>
      <c r="U742" s="311">
        <f t="shared" ca="1" si="321"/>
        <v>0</v>
      </c>
      <c r="V742" s="306">
        <f t="shared" ca="1" si="322"/>
        <v>1.2257263196170005</v>
      </c>
      <c r="W742" s="304">
        <f t="shared" ca="1" si="323"/>
        <v>58.301989606136715</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2.5167921842737027</v>
      </c>
      <c r="AH742" s="304">
        <f t="shared" ca="1" si="347"/>
        <v>-7.2424448013301106</v>
      </c>
    </row>
    <row r="743" spans="1:34" x14ac:dyDescent="0.3">
      <c r="A743" s="347">
        <f t="shared" ca="1" si="325"/>
        <v>1E-4</v>
      </c>
      <c r="B743" s="304">
        <f t="shared" ca="1" si="326"/>
        <v>33.922000000000942</v>
      </c>
      <c r="D743" s="306">
        <f t="shared" ca="1" si="327"/>
        <v>-0.73582698425694282</v>
      </c>
      <c r="E743" s="307">
        <f t="shared" ca="1" si="328"/>
        <v>-2.6049933189022036</v>
      </c>
      <c r="F743" s="304">
        <f t="shared" ca="1" si="329"/>
        <v>2.7069228918249197</v>
      </c>
      <c r="G743" s="306">
        <f t="shared" ca="1" si="330"/>
        <v>12.570121091112515</v>
      </c>
      <c r="H743" s="307">
        <f t="shared" ca="1" si="331"/>
        <v>-123.08399967337982</v>
      </c>
      <c r="I743" s="304">
        <f t="shared" ca="1" si="332"/>
        <v>123.72420506853861</v>
      </c>
      <c r="J743" s="306">
        <f t="shared" ca="1" si="333"/>
        <v>780.60585379989482</v>
      </c>
      <c r="K743" s="307">
        <f t="shared" ca="1" si="334"/>
        <v>-5.9396909035997476</v>
      </c>
      <c r="L743" s="304">
        <f t="shared" ca="1" si="319"/>
        <v>780.62845125878744</v>
      </c>
      <c r="M743" s="306">
        <f t="shared" ca="1" si="335"/>
        <v>-1.4690228117687694</v>
      </c>
      <c r="N743" s="304">
        <f t="shared" ca="1" si="336"/>
        <v>-84.168807122791648</v>
      </c>
      <c r="P743" s="310">
        <f t="shared" ca="1" si="337"/>
        <v>23</v>
      </c>
      <c r="Q743" s="304">
        <f t="shared" ca="1" si="338"/>
        <v>0</v>
      </c>
      <c r="R743" s="306">
        <f t="shared" ca="1" si="339"/>
        <v>0</v>
      </c>
      <c r="S743" s="307">
        <f t="shared" ca="1" si="340"/>
        <v>8.0499999999999989</v>
      </c>
      <c r="T743" s="304">
        <f t="shared" ca="1" si="320"/>
        <v>78.970499999999987</v>
      </c>
      <c r="U743" s="311">
        <f t="shared" ca="1" si="321"/>
        <v>0</v>
      </c>
      <c r="V743" s="306">
        <f t="shared" ca="1" si="322"/>
        <v>1.2257278282894448</v>
      </c>
      <c r="W743" s="304">
        <f t="shared" ca="1" si="323"/>
        <v>58.302298559331255</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2.5167546076252831</v>
      </c>
      <c r="AH743" s="304">
        <f t="shared" ca="1" si="347"/>
        <v>-7.2424831808865493</v>
      </c>
    </row>
    <row r="744" spans="1:34" x14ac:dyDescent="0.3">
      <c r="A744" s="347">
        <f t="shared" ca="1" si="325"/>
        <v>1E-4</v>
      </c>
      <c r="B744" s="304">
        <f t="shared" ca="1" si="326"/>
        <v>33.922100000000945</v>
      </c>
      <c r="D744" s="306">
        <f t="shared" ca="1" si="327"/>
        <v>-0.73582507938393737</v>
      </c>
      <c r="E744" s="307">
        <f t="shared" ca="1" si="328"/>
        <v>-2.6049545454584466</v>
      </c>
      <c r="F744" s="304">
        <f t="shared" ca="1" si="329"/>
        <v>2.7068850606102579</v>
      </c>
      <c r="G744" s="306">
        <f t="shared" ca="1" si="330"/>
        <v>12.570047508604576</v>
      </c>
      <c r="H744" s="307">
        <f t="shared" ca="1" si="331"/>
        <v>-123.08426016883436</v>
      </c>
      <c r="I744" s="304">
        <f t="shared" ca="1" si="332"/>
        <v>123.72445674028188</v>
      </c>
      <c r="J744" s="306">
        <f t="shared" ca="1" si="333"/>
        <v>780.60585379989482</v>
      </c>
      <c r="K744" s="307">
        <f t="shared" ca="1" si="334"/>
        <v>-5.9519993165918583</v>
      </c>
      <c r="L744" s="304">
        <f t="shared" ca="1" si="319"/>
        <v>780.62854500878166</v>
      </c>
      <c r="M744" s="306">
        <f t="shared" ca="1" si="335"/>
        <v>-1.4690236173294147</v>
      </c>
      <c r="N744" s="304">
        <f t="shared" ca="1" si="336"/>
        <v>-84.168853278016769</v>
      </c>
      <c r="P744" s="310">
        <f t="shared" ca="1" si="337"/>
        <v>23</v>
      </c>
      <c r="Q744" s="304">
        <f t="shared" ca="1" si="338"/>
        <v>0</v>
      </c>
      <c r="R744" s="306">
        <f t="shared" ca="1" si="339"/>
        <v>0</v>
      </c>
      <c r="S744" s="307">
        <f t="shared" ca="1" si="340"/>
        <v>8.0499999999999989</v>
      </c>
      <c r="T744" s="304">
        <f t="shared" ca="1" si="320"/>
        <v>78.970499999999987</v>
      </c>
      <c r="U744" s="311">
        <f t="shared" ca="1" si="321"/>
        <v>0</v>
      </c>
      <c r="V744" s="306">
        <f t="shared" ca="1" si="322"/>
        <v>1.2257293369669391</v>
      </c>
      <c r="W744" s="304">
        <f t="shared" ca="1" si="323"/>
        <v>58.302607510290962</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2.5167170312401739</v>
      </c>
      <c r="AH744" s="304">
        <f t="shared" ca="1" si="347"/>
        <v>-7.2425215601653745</v>
      </c>
    </row>
    <row r="745" spans="1:34" x14ac:dyDescent="0.3">
      <c r="A745" s="347">
        <f t="shared" ca="1" si="325"/>
        <v>1E-4</v>
      </c>
      <c r="B745" s="304">
        <f t="shared" ca="1" si="326"/>
        <v>33.922200000000949</v>
      </c>
      <c r="D745" s="306">
        <f t="shared" ca="1" si="327"/>
        <v>-0.73582317447832302</v>
      </c>
      <c r="E745" s="307">
        <f t="shared" ca="1" si="328"/>
        <v>-2.6049157722951461</v>
      </c>
      <c r="F745" s="304">
        <f t="shared" ca="1" si="329"/>
        <v>2.7068472296846333</v>
      </c>
      <c r="G745" s="306">
        <f t="shared" ca="1" si="330"/>
        <v>12.569973926287128</v>
      </c>
      <c r="H745" s="307">
        <f t="shared" ca="1" si="331"/>
        <v>-123.08452066041158</v>
      </c>
      <c r="I745" s="304">
        <f t="shared" ca="1" si="332"/>
        <v>123.72470840826752</v>
      </c>
      <c r="J745" s="306">
        <f t="shared" ca="1" si="333"/>
        <v>780.60585379989482</v>
      </c>
      <c r="K745" s="307">
        <f t="shared" ca="1" si="334"/>
        <v>-5.9643077556333211</v>
      </c>
      <c r="L745" s="304">
        <f t="shared" ca="1" si="319"/>
        <v>780.62863895303417</v>
      </c>
      <c r="M745" s="306">
        <f t="shared" ca="1" si="335"/>
        <v>-1.469024422882067</v>
      </c>
      <c r="N745" s="304">
        <f t="shared" ca="1" si="336"/>
        <v>-84.168899432783917</v>
      </c>
      <c r="P745" s="310">
        <f t="shared" ca="1" si="337"/>
        <v>23</v>
      </c>
      <c r="Q745" s="304">
        <f t="shared" ca="1" si="338"/>
        <v>0</v>
      </c>
      <c r="R745" s="306">
        <f t="shared" ca="1" si="339"/>
        <v>0</v>
      </c>
      <c r="S745" s="307">
        <f t="shared" ca="1" si="340"/>
        <v>8.0499999999999989</v>
      </c>
      <c r="T745" s="304">
        <f t="shared" ca="1" si="320"/>
        <v>78.970499999999987</v>
      </c>
      <c r="U745" s="311">
        <f t="shared" ca="1" si="321"/>
        <v>0</v>
      </c>
      <c r="V745" s="306">
        <f t="shared" ca="1" si="322"/>
        <v>1.2257308456494838</v>
      </c>
      <c r="W745" s="304">
        <f t="shared" ca="1" si="323"/>
        <v>58.30291645901584</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2.5166794551183864</v>
      </c>
      <c r="AH745" s="304">
        <f t="shared" ca="1" si="347"/>
        <v>-7.24255993916658</v>
      </c>
    </row>
    <row r="746" spans="1:34" x14ac:dyDescent="0.3">
      <c r="A746" s="347">
        <f t="shared" ca="1" si="325"/>
        <v>1E-4</v>
      </c>
      <c r="B746" s="304">
        <f t="shared" ca="1" si="326"/>
        <v>33.922300000000952</v>
      </c>
      <c r="D746" s="306">
        <f t="shared" ca="1" si="327"/>
        <v>-0.73582126954010296</v>
      </c>
      <c r="E746" s="307">
        <f t="shared" ca="1" si="328"/>
        <v>-2.6048769994123022</v>
      </c>
      <c r="F746" s="304">
        <f t="shared" ca="1" si="329"/>
        <v>2.7068093990480468</v>
      </c>
      <c r="G746" s="306">
        <f t="shared" ca="1" si="330"/>
        <v>12.569900344160175</v>
      </c>
      <c r="H746" s="307">
        <f t="shared" ca="1" si="331"/>
        <v>-123.08478114811153</v>
      </c>
      <c r="I746" s="304">
        <f t="shared" ca="1" si="332"/>
        <v>123.72496007249561</v>
      </c>
      <c r="J746" s="306">
        <f t="shared" ca="1" si="333"/>
        <v>780.60585379989482</v>
      </c>
      <c r="K746" s="307">
        <f t="shared" ca="1" si="334"/>
        <v>-5.9766162207237468</v>
      </c>
      <c r="L746" s="304">
        <f t="shared" ca="1" si="319"/>
        <v>780.62873309154622</v>
      </c>
      <c r="M746" s="306">
        <f t="shared" ca="1" si="335"/>
        <v>-1.4690252284267269</v>
      </c>
      <c r="N746" s="304">
        <f t="shared" ca="1" si="336"/>
        <v>-84.168945587093134</v>
      </c>
      <c r="P746" s="310">
        <f t="shared" ca="1" si="337"/>
        <v>23</v>
      </c>
      <c r="Q746" s="304">
        <f t="shared" ca="1" si="338"/>
        <v>0</v>
      </c>
      <c r="R746" s="306">
        <f t="shared" ca="1" si="339"/>
        <v>0</v>
      </c>
      <c r="S746" s="307">
        <f t="shared" ca="1" si="340"/>
        <v>8.0499999999999989</v>
      </c>
      <c r="T746" s="304">
        <f t="shared" ca="1" si="320"/>
        <v>78.970499999999987</v>
      </c>
      <c r="U746" s="311">
        <f t="shared" ca="1" si="321"/>
        <v>0</v>
      </c>
      <c r="V746" s="306">
        <f t="shared" ca="1" si="322"/>
        <v>1.2257323543370791</v>
      </c>
      <c r="W746" s="304">
        <f t="shared" ca="1" si="323"/>
        <v>58.303225405505934</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2.5166418792599172</v>
      </c>
      <c r="AH746" s="304">
        <f t="shared" ca="1" si="347"/>
        <v>-7.2425983178901676</v>
      </c>
    </row>
    <row r="747" spans="1:34" x14ac:dyDescent="0.3">
      <c r="A747" s="347">
        <f t="shared" ca="1" si="325"/>
        <v>1E-4</v>
      </c>
      <c r="B747" s="304">
        <f t="shared" ca="1" si="326"/>
        <v>33.922400000000955</v>
      </c>
      <c r="D747" s="306">
        <f t="shared" ca="1" si="327"/>
        <v>-0.73581936456927621</v>
      </c>
      <c r="E747" s="307">
        <f t="shared" ca="1" si="328"/>
        <v>-2.6048382268099104</v>
      </c>
      <c r="F747" s="304">
        <f t="shared" ca="1" si="329"/>
        <v>2.7067715687004936</v>
      </c>
      <c r="G747" s="306">
        <f t="shared" ca="1" si="330"/>
        <v>12.569826762223718</v>
      </c>
      <c r="H747" s="307">
        <f t="shared" ca="1" si="331"/>
        <v>-123.08504163193422</v>
      </c>
      <c r="I747" s="304">
        <f t="shared" ca="1" si="332"/>
        <v>123.7252117329661</v>
      </c>
      <c r="J747" s="306">
        <f t="shared" ca="1" si="333"/>
        <v>780.60585379989482</v>
      </c>
      <c r="K747" s="307">
        <f t="shared" ca="1" si="334"/>
        <v>-5.9889247118627491</v>
      </c>
      <c r="L747" s="304">
        <f t="shared" ca="1" si="319"/>
        <v>780.62882742431884</v>
      </c>
      <c r="M747" s="306">
        <f t="shared" ca="1" si="335"/>
        <v>-1.4690260339633943</v>
      </c>
      <c r="N747" s="304">
        <f t="shared" ca="1" si="336"/>
        <v>-84.168991740944421</v>
      </c>
      <c r="P747" s="310">
        <f t="shared" ca="1" si="337"/>
        <v>23</v>
      </c>
      <c r="Q747" s="304">
        <f t="shared" ca="1" si="338"/>
        <v>0</v>
      </c>
      <c r="R747" s="306">
        <f t="shared" ca="1" si="339"/>
        <v>0</v>
      </c>
      <c r="S747" s="307">
        <f t="shared" ca="1" si="340"/>
        <v>8.0499999999999989</v>
      </c>
      <c r="T747" s="304">
        <f t="shared" ca="1" si="320"/>
        <v>78.970499999999987</v>
      </c>
      <c r="U747" s="311">
        <f t="shared" ca="1" si="321"/>
        <v>0</v>
      </c>
      <c r="V747" s="306">
        <f t="shared" ca="1" si="322"/>
        <v>1.225733863029725</v>
      </c>
      <c r="W747" s="304">
        <f t="shared" ca="1" si="323"/>
        <v>58.303534349761186</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2.5166043036647636</v>
      </c>
      <c r="AH747" s="304">
        <f t="shared" ca="1" si="347"/>
        <v>-7.2426366963361417</v>
      </c>
    </row>
    <row r="748" spans="1:34" x14ac:dyDescent="0.3">
      <c r="A748" s="347">
        <f t="shared" ca="1" si="325"/>
        <v>1E-4</v>
      </c>
      <c r="B748" s="304">
        <f t="shared" ca="1" si="326"/>
        <v>33.922500000000959</v>
      </c>
      <c r="D748" s="306">
        <f t="shared" ca="1" si="327"/>
        <v>-0.73581745956584355</v>
      </c>
      <c r="E748" s="307">
        <f t="shared" ca="1" si="328"/>
        <v>-2.604799454487976</v>
      </c>
      <c r="F748" s="304">
        <f t="shared" ca="1" si="329"/>
        <v>2.7067337386419799</v>
      </c>
      <c r="G748" s="306">
        <f t="shared" ca="1" si="330"/>
        <v>12.569753180477761</v>
      </c>
      <c r="H748" s="307">
        <f t="shared" ca="1" si="331"/>
        <v>-123.08530211187967</v>
      </c>
      <c r="I748" s="304">
        <f t="shared" ca="1" si="332"/>
        <v>123.72546338967909</v>
      </c>
      <c r="J748" s="306">
        <f t="shared" ca="1" si="333"/>
        <v>780.60585379989482</v>
      </c>
      <c r="K748" s="307">
        <f t="shared" ca="1" si="334"/>
        <v>-6.0012332290499399</v>
      </c>
      <c r="L748" s="304">
        <f t="shared" ca="1" si="319"/>
        <v>780.62892195135339</v>
      </c>
      <c r="M748" s="306">
        <f t="shared" ca="1" si="335"/>
        <v>-1.4690268394920691</v>
      </c>
      <c r="N748" s="304">
        <f t="shared" ca="1" si="336"/>
        <v>-84.169037894337762</v>
      </c>
      <c r="P748" s="310">
        <f t="shared" ca="1" si="337"/>
        <v>23</v>
      </c>
      <c r="Q748" s="304">
        <f t="shared" ca="1" si="338"/>
        <v>0</v>
      </c>
      <c r="R748" s="306">
        <f t="shared" ca="1" si="339"/>
        <v>0</v>
      </c>
      <c r="S748" s="307">
        <f t="shared" ca="1" si="340"/>
        <v>8.0499999999999989</v>
      </c>
      <c r="T748" s="304">
        <f t="shared" ca="1" si="320"/>
        <v>78.970499999999987</v>
      </c>
      <c r="U748" s="311">
        <f t="shared" ca="1" si="321"/>
        <v>0</v>
      </c>
      <c r="V748" s="306">
        <f t="shared" ca="1" si="322"/>
        <v>1.2257353717274209</v>
      </c>
      <c r="W748" s="304">
        <f t="shared" ca="1" si="323"/>
        <v>58.303843291781611</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2.5165667283329318</v>
      </c>
      <c r="AH748" s="304">
        <f t="shared" ca="1" si="347"/>
        <v>-7.2426750745044961</v>
      </c>
    </row>
    <row r="749" spans="1:34" x14ac:dyDescent="0.3">
      <c r="A749" s="347">
        <f t="shared" ca="1" si="325"/>
        <v>1E-4</v>
      </c>
      <c r="B749" s="304">
        <f t="shared" ca="1" si="326"/>
        <v>33.922600000000962</v>
      </c>
      <c r="D749" s="306">
        <f t="shared" ca="1" si="327"/>
        <v>-0.73581555452980696</v>
      </c>
      <c r="E749" s="307">
        <f t="shared" ca="1" si="328"/>
        <v>-2.6047606824464982</v>
      </c>
      <c r="F749" s="304">
        <f t="shared" ca="1" si="329"/>
        <v>2.7066959088725047</v>
      </c>
      <c r="G749" s="306">
        <f t="shared" ca="1" si="330"/>
        <v>12.569679598922308</v>
      </c>
      <c r="H749" s="307">
        <f t="shared" ca="1" si="331"/>
        <v>-123.08556258794792</v>
      </c>
      <c r="I749" s="304">
        <f t="shared" ca="1" si="332"/>
        <v>123.72571504263456</v>
      </c>
      <c r="J749" s="306">
        <f t="shared" ca="1" si="333"/>
        <v>780.60585379989482</v>
      </c>
      <c r="K749" s="307">
        <f t="shared" ca="1" si="334"/>
        <v>-6.0135417722849311</v>
      </c>
      <c r="L749" s="304">
        <f t="shared" ca="1" si="319"/>
        <v>780.62901667265078</v>
      </c>
      <c r="M749" s="306">
        <f t="shared" ca="1" si="335"/>
        <v>-1.4690276450127517</v>
      </c>
      <c r="N749" s="304">
        <f t="shared" ca="1" si="336"/>
        <v>-84.169084047273188</v>
      </c>
      <c r="P749" s="310">
        <f t="shared" ca="1" si="337"/>
        <v>23</v>
      </c>
      <c r="Q749" s="304">
        <f t="shared" ca="1" si="338"/>
        <v>0</v>
      </c>
      <c r="R749" s="306">
        <f t="shared" ca="1" si="339"/>
        <v>0</v>
      </c>
      <c r="S749" s="307">
        <f t="shared" ca="1" si="340"/>
        <v>8.0499999999999989</v>
      </c>
      <c r="T749" s="304">
        <f t="shared" ca="1" si="320"/>
        <v>78.970499999999987</v>
      </c>
      <c r="U749" s="311">
        <f t="shared" ca="1" si="321"/>
        <v>0</v>
      </c>
      <c r="V749" s="306">
        <f t="shared" ca="1" si="322"/>
        <v>1.2257368804301674</v>
      </c>
      <c r="W749" s="304">
        <f t="shared" ca="1" si="323"/>
        <v>58.304152231567194</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2.5165291532644201</v>
      </c>
      <c r="AH749" s="304">
        <f t="shared" ca="1" si="347"/>
        <v>-7.2427134523952326</v>
      </c>
    </row>
    <row r="750" spans="1:34" x14ac:dyDescent="0.3">
      <c r="A750" s="347">
        <f t="shared" ca="1" si="325"/>
        <v>1E-4</v>
      </c>
      <c r="B750" s="304">
        <f t="shared" ca="1" si="326"/>
        <v>33.922700000000965</v>
      </c>
      <c r="D750" s="306">
        <f t="shared" ca="1" si="327"/>
        <v>-0.73581364946116601</v>
      </c>
      <c r="E750" s="307">
        <f t="shared" ca="1" si="328"/>
        <v>-2.6047219106854795</v>
      </c>
      <c r="F750" s="304">
        <f t="shared" ca="1" si="329"/>
        <v>2.7066580793920711</v>
      </c>
      <c r="G750" s="306">
        <f t="shared" ca="1" si="330"/>
        <v>12.569606017557362</v>
      </c>
      <c r="H750" s="307">
        <f t="shared" ca="1" si="331"/>
        <v>-123.08582306013899</v>
      </c>
      <c r="I750" s="304">
        <f t="shared" ca="1" si="332"/>
        <v>123.72596669183255</v>
      </c>
      <c r="J750" s="306">
        <f t="shared" ca="1" si="333"/>
        <v>780.60585379989482</v>
      </c>
      <c r="K750" s="307">
        <f t="shared" ca="1" si="334"/>
        <v>-6.0258503415673355</v>
      </c>
      <c r="L750" s="304">
        <f t="shared" ca="1" si="319"/>
        <v>780.62911158821237</v>
      </c>
      <c r="M750" s="306">
        <f t="shared" ca="1" si="335"/>
        <v>-1.4690284505254423</v>
      </c>
      <c r="N750" s="304">
        <f t="shared" ca="1" si="336"/>
        <v>-84.169130199750711</v>
      </c>
      <c r="P750" s="310">
        <f t="shared" ca="1" si="337"/>
        <v>23</v>
      </c>
      <c r="Q750" s="304">
        <f t="shared" ca="1" si="338"/>
        <v>0</v>
      </c>
      <c r="R750" s="306">
        <f t="shared" ca="1" si="339"/>
        <v>0</v>
      </c>
      <c r="S750" s="307">
        <f t="shared" ca="1" si="340"/>
        <v>8.0499999999999989</v>
      </c>
      <c r="T750" s="304">
        <f t="shared" ca="1" si="320"/>
        <v>78.970499999999987</v>
      </c>
      <c r="U750" s="311">
        <f t="shared" ca="1" si="321"/>
        <v>0</v>
      </c>
      <c r="V750" s="306">
        <f t="shared" ca="1" si="322"/>
        <v>1.2257383891379641</v>
      </c>
      <c r="W750" s="304">
        <f t="shared" ca="1" si="323"/>
        <v>58.304461169117921</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2.5164915784592274</v>
      </c>
      <c r="AH750" s="304">
        <f t="shared" ca="1" si="347"/>
        <v>-7.2427518300083484</v>
      </c>
    </row>
    <row r="751" spans="1:34" x14ac:dyDescent="0.3">
      <c r="A751" s="347">
        <f t="shared" ca="1" si="325"/>
        <v>1E-4</v>
      </c>
      <c r="B751" s="304">
        <f t="shared" ca="1" si="326"/>
        <v>33.922800000000969</v>
      </c>
      <c r="D751" s="306">
        <f t="shared" ca="1" si="327"/>
        <v>-0.73581174435992058</v>
      </c>
      <c r="E751" s="307">
        <f t="shared" ca="1" si="328"/>
        <v>-2.604683139204921</v>
      </c>
      <c r="F751" s="304">
        <f t="shared" ca="1" si="329"/>
        <v>2.7066202502006798</v>
      </c>
      <c r="G751" s="306">
        <f t="shared" ca="1" si="330"/>
        <v>12.569532436382927</v>
      </c>
      <c r="H751" s="307">
        <f t="shared" ca="1" si="331"/>
        <v>-123.08608352845292</v>
      </c>
      <c r="I751" s="304">
        <f t="shared" ca="1" si="332"/>
        <v>123.7262183372731</v>
      </c>
      <c r="J751" s="306">
        <f t="shared" ca="1" si="333"/>
        <v>780.60585379989482</v>
      </c>
      <c r="K751" s="307">
        <f t="shared" ca="1" si="334"/>
        <v>-6.0381589368967648</v>
      </c>
      <c r="L751" s="304">
        <f t="shared" ca="1" si="319"/>
        <v>780.62920669803918</v>
      </c>
      <c r="M751" s="306">
        <f t="shared" ca="1" si="335"/>
        <v>-1.4690292560301408</v>
      </c>
      <c r="N751" s="304">
        <f t="shared" ca="1" si="336"/>
        <v>-84.169176351770304</v>
      </c>
      <c r="P751" s="310">
        <f t="shared" ca="1" si="337"/>
        <v>23</v>
      </c>
      <c r="Q751" s="304">
        <f t="shared" ca="1" si="338"/>
        <v>0</v>
      </c>
      <c r="R751" s="306">
        <f t="shared" ca="1" si="339"/>
        <v>0</v>
      </c>
      <c r="S751" s="307">
        <f t="shared" ca="1" si="340"/>
        <v>8.0499999999999989</v>
      </c>
      <c r="T751" s="304">
        <f t="shared" ca="1" si="320"/>
        <v>78.970499999999987</v>
      </c>
      <c r="U751" s="311">
        <f t="shared" ca="1" si="321"/>
        <v>0</v>
      </c>
      <c r="V751" s="306">
        <f t="shared" ca="1" si="322"/>
        <v>1.2257398978508109</v>
      </c>
      <c r="W751" s="304">
        <f t="shared" ca="1" si="323"/>
        <v>58.304770104433807</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2.5164540039173611</v>
      </c>
      <c r="AH751" s="304">
        <f t="shared" ca="1" si="347"/>
        <v>-7.2427902073438419</v>
      </c>
    </row>
    <row r="752" spans="1:34" x14ac:dyDescent="0.3">
      <c r="A752" s="347">
        <f t="shared" ca="1" si="325"/>
        <v>1E-4</v>
      </c>
      <c r="B752" s="304">
        <f t="shared" ca="1" si="326"/>
        <v>33.922900000000972</v>
      </c>
      <c r="D752" s="306">
        <f t="shared" ca="1" si="327"/>
        <v>-0.73580983922607246</v>
      </c>
      <c r="E752" s="307">
        <f t="shared" ca="1" si="328"/>
        <v>-2.6046443680048208</v>
      </c>
      <c r="F752" s="304">
        <f t="shared" ca="1" si="329"/>
        <v>2.70658242129833</v>
      </c>
      <c r="G752" s="306">
        <f t="shared" ca="1" si="330"/>
        <v>12.569458855399004</v>
      </c>
      <c r="H752" s="307">
        <f t="shared" ca="1" si="331"/>
        <v>-123.08634399288972</v>
      </c>
      <c r="I752" s="304">
        <f t="shared" ca="1" si="332"/>
        <v>123.7264699789562</v>
      </c>
      <c r="J752" s="306">
        <f t="shared" ca="1" si="333"/>
        <v>780.60585379989482</v>
      </c>
      <c r="K752" s="307">
        <f t="shared" ca="1" si="334"/>
        <v>-6.0504675582728318</v>
      </c>
      <c r="L752" s="304">
        <f t="shared" ca="1" si="319"/>
        <v>780.62930200213236</v>
      </c>
      <c r="M752" s="306">
        <f t="shared" ca="1" si="335"/>
        <v>-1.4690300615268475</v>
      </c>
      <c r="N752" s="304">
        <f t="shared" ca="1" si="336"/>
        <v>-84.169222503332009</v>
      </c>
      <c r="P752" s="310">
        <f t="shared" ca="1" si="337"/>
        <v>23</v>
      </c>
      <c r="Q752" s="304">
        <f t="shared" ca="1" si="338"/>
        <v>0</v>
      </c>
      <c r="R752" s="306">
        <f t="shared" ca="1" si="339"/>
        <v>0</v>
      </c>
      <c r="S752" s="307">
        <f t="shared" ca="1" si="340"/>
        <v>8.0499999999999989</v>
      </c>
      <c r="T752" s="304">
        <f t="shared" ca="1" si="320"/>
        <v>78.970499999999987</v>
      </c>
      <c r="U752" s="311">
        <f t="shared" ca="1" si="321"/>
        <v>0</v>
      </c>
      <c r="V752" s="306">
        <f t="shared" ca="1" si="322"/>
        <v>1.2257414065687082</v>
      </c>
      <c r="W752" s="304">
        <f t="shared" ca="1" si="323"/>
        <v>58.305079037514815</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2.5164164296388201</v>
      </c>
      <c r="AH752" s="304">
        <f t="shared" ca="1" si="347"/>
        <v>-7.2428285844017157</v>
      </c>
    </row>
    <row r="753" spans="1:34" x14ac:dyDescent="0.3">
      <c r="A753" s="347">
        <f t="shared" ca="1" si="325"/>
        <v>1E-4</v>
      </c>
      <c r="B753" s="304">
        <f t="shared" ca="1" si="326"/>
        <v>33.923000000000975</v>
      </c>
      <c r="D753" s="306">
        <f t="shared" ca="1" si="327"/>
        <v>-0.73580793405962119</v>
      </c>
      <c r="E753" s="307">
        <f t="shared" ca="1" si="328"/>
        <v>-2.6046055970851825</v>
      </c>
      <c r="F753" s="304">
        <f t="shared" ca="1" si="329"/>
        <v>2.7065445926850251</v>
      </c>
      <c r="G753" s="306">
        <f t="shared" ca="1" si="330"/>
        <v>12.569385274605597</v>
      </c>
      <c r="H753" s="307">
        <f t="shared" ca="1" si="331"/>
        <v>-123.08660445344944</v>
      </c>
      <c r="I753" s="304">
        <f t="shared" ca="1" si="332"/>
        <v>123.7267216168819</v>
      </c>
      <c r="J753" s="306">
        <f t="shared" ca="1" si="333"/>
        <v>780.60585379989482</v>
      </c>
      <c r="K753" s="307">
        <f t="shared" ca="1" si="334"/>
        <v>-6.0627762056951484</v>
      </c>
      <c r="L753" s="304">
        <f t="shared" ca="1" si="319"/>
        <v>780.62939750049316</v>
      </c>
      <c r="M753" s="306">
        <f t="shared" ca="1" si="335"/>
        <v>-1.4690308670155623</v>
      </c>
      <c r="N753" s="304">
        <f t="shared" ca="1" si="336"/>
        <v>-84.169268654435811</v>
      </c>
      <c r="P753" s="310">
        <f t="shared" ca="1" si="337"/>
        <v>23</v>
      </c>
      <c r="Q753" s="304">
        <f t="shared" ca="1" si="338"/>
        <v>0</v>
      </c>
      <c r="R753" s="306">
        <f t="shared" ca="1" si="339"/>
        <v>0</v>
      </c>
      <c r="S753" s="307">
        <f t="shared" ca="1" si="340"/>
        <v>8.0499999999999989</v>
      </c>
      <c r="T753" s="304">
        <f t="shared" ca="1" si="320"/>
        <v>78.970499999999987</v>
      </c>
      <c r="U753" s="311">
        <f t="shared" ca="1" si="321"/>
        <v>0</v>
      </c>
      <c r="V753" s="306">
        <f t="shared" ca="1" si="322"/>
        <v>1.2257429152916552</v>
      </c>
      <c r="W753" s="304">
        <f t="shared" ca="1" si="323"/>
        <v>58.305387968360932</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2.5163788556236035</v>
      </c>
      <c r="AH753" s="304">
        <f t="shared" ca="1" si="347"/>
        <v>-7.2428669611819654</v>
      </c>
    </row>
    <row r="754" spans="1:34" x14ac:dyDescent="0.3">
      <c r="A754" s="347">
        <f t="shared" ca="1" si="325"/>
        <v>1E-4</v>
      </c>
      <c r="B754" s="304">
        <f t="shared" ca="1" si="326"/>
        <v>33.923100000000979</v>
      </c>
      <c r="D754" s="306">
        <f t="shared" ca="1" si="327"/>
        <v>-0.73580602886056845</v>
      </c>
      <c r="E754" s="307">
        <f t="shared" ca="1" si="328"/>
        <v>-2.6045668264460078</v>
      </c>
      <c r="F754" s="304">
        <f t="shared" ca="1" si="329"/>
        <v>2.7065067643607672</v>
      </c>
      <c r="G754" s="306">
        <f t="shared" ca="1" si="330"/>
        <v>12.569311694002712</v>
      </c>
      <c r="H754" s="307">
        <f t="shared" ca="1" si="331"/>
        <v>-123.08686491013208</v>
      </c>
      <c r="I754" s="304">
        <f t="shared" ca="1" si="332"/>
        <v>123.72697325105023</v>
      </c>
      <c r="J754" s="306">
        <f t="shared" ca="1" si="333"/>
        <v>780.60585379989482</v>
      </c>
      <c r="K754" s="307">
        <f t="shared" ca="1" si="334"/>
        <v>-6.0750848791633274</v>
      </c>
      <c r="L754" s="304">
        <f t="shared" ca="1" si="319"/>
        <v>780.62949319312281</v>
      </c>
      <c r="M754" s="306">
        <f t="shared" ca="1" si="335"/>
        <v>-1.4690316724962853</v>
      </c>
      <c r="N754" s="304">
        <f t="shared" ca="1" si="336"/>
        <v>-84.169314805081726</v>
      </c>
      <c r="P754" s="310">
        <f t="shared" ca="1" si="337"/>
        <v>23</v>
      </c>
      <c r="Q754" s="304">
        <f t="shared" ca="1" si="338"/>
        <v>0</v>
      </c>
      <c r="R754" s="306">
        <f t="shared" ca="1" si="339"/>
        <v>0</v>
      </c>
      <c r="S754" s="307">
        <f t="shared" ca="1" si="340"/>
        <v>8.0499999999999989</v>
      </c>
      <c r="T754" s="304">
        <f t="shared" ca="1" si="320"/>
        <v>78.970499999999987</v>
      </c>
      <c r="U754" s="311">
        <f t="shared" ca="1" si="321"/>
        <v>0</v>
      </c>
      <c r="V754" s="306">
        <f t="shared" ca="1" si="322"/>
        <v>1.2257444240196531</v>
      </c>
      <c r="W754" s="304">
        <f t="shared" ca="1" si="323"/>
        <v>58.305696896972222</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2.5163412818717186</v>
      </c>
      <c r="AH754" s="304">
        <f t="shared" ca="1" si="347"/>
        <v>-7.2429053376845891</v>
      </c>
    </row>
    <row r="755" spans="1:34" x14ac:dyDescent="0.3">
      <c r="A755" s="347">
        <f t="shared" ca="1" si="325"/>
        <v>1E-4</v>
      </c>
      <c r="B755" s="304">
        <f t="shared" ca="1" si="326"/>
        <v>33.923200000000982</v>
      </c>
      <c r="D755" s="306">
        <f t="shared" ca="1" si="327"/>
        <v>-0.73580412362891612</v>
      </c>
      <c r="E755" s="307">
        <f t="shared" ca="1" si="328"/>
        <v>-2.6045280560872923</v>
      </c>
      <c r="F755" s="304">
        <f t="shared" ca="1" si="329"/>
        <v>2.7064689363255523</v>
      </c>
      <c r="G755" s="306">
        <f t="shared" ca="1" si="330"/>
        <v>12.56923811359035</v>
      </c>
      <c r="H755" s="307">
        <f t="shared" ca="1" si="331"/>
        <v>-123.08712536293768</v>
      </c>
      <c r="I755" s="304">
        <f t="shared" ca="1" si="332"/>
        <v>123.7272248814612</v>
      </c>
      <c r="J755" s="306">
        <f t="shared" ca="1" si="333"/>
        <v>780.60585379989482</v>
      </c>
      <c r="K755" s="307">
        <f t="shared" ca="1" si="334"/>
        <v>-6.0873935786769806</v>
      </c>
      <c r="L755" s="304">
        <f t="shared" ca="1" si="319"/>
        <v>780.62958908002236</v>
      </c>
      <c r="M755" s="306">
        <f t="shared" ca="1" si="335"/>
        <v>-1.4690324779690169</v>
      </c>
      <c r="N755" s="304">
        <f t="shared" ca="1" si="336"/>
        <v>-84.169360955269752</v>
      </c>
      <c r="P755" s="310">
        <f t="shared" ca="1" si="337"/>
        <v>23</v>
      </c>
      <c r="Q755" s="304">
        <f t="shared" ca="1" si="338"/>
        <v>0</v>
      </c>
      <c r="R755" s="306">
        <f t="shared" ca="1" si="339"/>
        <v>0</v>
      </c>
      <c r="S755" s="307">
        <f t="shared" ca="1" si="340"/>
        <v>8.0499999999999989</v>
      </c>
      <c r="T755" s="304">
        <f t="shared" ca="1" si="320"/>
        <v>78.970499999999987</v>
      </c>
      <c r="U755" s="311">
        <f t="shared" ca="1" si="321"/>
        <v>0</v>
      </c>
      <c r="V755" s="306">
        <f t="shared" ca="1" si="322"/>
        <v>1.2257459327527005</v>
      </c>
      <c r="W755" s="304">
        <f t="shared" ca="1" si="323"/>
        <v>58.306005823348585</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2.5163037083831528</v>
      </c>
      <c r="AH755" s="304">
        <f t="shared" ca="1" si="347"/>
        <v>-7.242943713909594</v>
      </c>
    </row>
    <row r="756" spans="1:34" x14ac:dyDescent="0.3">
      <c r="A756" s="347">
        <f t="shared" ca="1" si="325"/>
        <v>1E-4</v>
      </c>
      <c r="B756" s="304">
        <f t="shared" ca="1" si="326"/>
        <v>33.923300000000985</v>
      </c>
      <c r="D756" s="306">
        <f t="shared" ca="1" si="327"/>
        <v>-0.73580221836466164</v>
      </c>
      <c r="E756" s="307">
        <f t="shared" ca="1" si="328"/>
        <v>-2.6044892860090449</v>
      </c>
      <c r="F756" s="304">
        <f t="shared" ca="1" si="329"/>
        <v>2.7064311085793893</v>
      </c>
      <c r="G756" s="306">
        <f t="shared" ca="1" si="330"/>
        <v>12.569164533368513</v>
      </c>
      <c r="H756" s="307">
        <f t="shared" ca="1" si="331"/>
        <v>-123.08738581186628</v>
      </c>
      <c r="I756" s="304">
        <f t="shared" ca="1" si="332"/>
        <v>123.72747650811485</v>
      </c>
      <c r="J756" s="306">
        <f t="shared" ca="1" si="333"/>
        <v>780.60585379989482</v>
      </c>
      <c r="K756" s="307">
        <f t="shared" ca="1" si="334"/>
        <v>-6.0997023042357208</v>
      </c>
      <c r="L756" s="304">
        <f t="shared" ca="1" si="319"/>
        <v>780.62968516119281</v>
      </c>
      <c r="M756" s="306">
        <f t="shared" ca="1" si="335"/>
        <v>-1.4690332834337572</v>
      </c>
      <c r="N756" s="304">
        <f t="shared" ca="1" si="336"/>
        <v>-84.16940710499992</v>
      </c>
      <c r="P756" s="310">
        <f t="shared" ca="1" si="337"/>
        <v>23</v>
      </c>
      <c r="Q756" s="304">
        <f t="shared" ca="1" si="338"/>
        <v>0</v>
      </c>
      <c r="R756" s="306">
        <f t="shared" ca="1" si="339"/>
        <v>0</v>
      </c>
      <c r="S756" s="307">
        <f t="shared" ca="1" si="340"/>
        <v>8.0499999999999989</v>
      </c>
      <c r="T756" s="304">
        <f t="shared" ca="1" si="320"/>
        <v>78.970499999999987</v>
      </c>
      <c r="U756" s="311">
        <f t="shared" ca="1" si="321"/>
        <v>0</v>
      </c>
      <c r="V756" s="306">
        <f t="shared" ca="1" si="322"/>
        <v>1.2257474414907983</v>
      </c>
      <c r="W756" s="304">
        <f t="shared" ca="1" si="323"/>
        <v>58.306314747490077</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2.5162661351579256</v>
      </c>
      <c r="AH756" s="304">
        <f t="shared" ca="1" si="347"/>
        <v>-7.2429820898569677</v>
      </c>
    </row>
    <row r="757" spans="1:34" x14ac:dyDescent="0.3">
      <c r="A757" s="347">
        <f t="shared" ca="1" si="325"/>
        <v>1E-4</v>
      </c>
      <c r="B757" s="304">
        <f t="shared" ca="1" si="326"/>
        <v>33.923400000000989</v>
      </c>
      <c r="D757" s="306">
        <f t="shared" ca="1" si="327"/>
        <v>-0.73580031306780735</v>
      </c>
      <c r="E757" s="307">
        <f t="shared" ca="1" si="328"/>
        <v>-2.6044505162112586</v>
      </c>
      <c r="F757" s="304">
        <f t="shared" ca="1" si="329"/>
        <v>2.7063932811222715</v>
      </c>
      <c r="G757" s="306">
        <f t="shared" ca="1" si="330"/>
        <v>12.569090953337206</v>
      </c>
      <c r="H757" s="307">
        <f t="shared" ca="1" si="331"/>
        <v>-123.08764625691791</v>
      </c>
      <c r="I757" s="304">
        <f t="shared" ca="1" si="332"/>
        <v>123.7277281310112</v>
      </c>
      <c r="J757" s="306">
        <f t="shared" ca="1" si="333"/>
        <v>780.60585379989482</v>
      </c>
      <c r="K757" s="307">
        <f t="shared" ca="1" si="334"/>
        <v>-6.1120110558391598</v>
      </c>
      <c r="L757" s="304">
        <f t="shared" ca="1" si="319"/>
        <v>780.62978143663554</v>
      </c>
      <c r="M757" s="306">
        <f t="shared" ca="1" si="335"/>
        <v>-1.469034088890506</v>
      </c>
      <c r="N757" s="304">
        <f t="shared" ca="1" si="336"/>
        <v>-84.169453254272213</v>
      </c>
      <c r="P757" s="310">
        <f t="shared" ca="1" si="337"/>
        <v>23</v>
      </c>
      <c r="Q757" s="304">
        <f t="shared" ca="1" si="338"/>
        <v>0</v>
      </c>
      <c r="R757" s="306">
        <f t="shared" ca="1" si="339"/>
        <v>0</v>
      </c>
      <c r="S757" s="307">
        <f t="shared" ca="1" si="340"/>
        <v>8.0499999999999989</v>
      </c>
      <c r="T757" s="304">
        <f t="shared" ca="1" si="320"/>
        <v>78.970499999999987</v>
      </c>
      <c r="U757" s="311">
        <f t="shared" ca="1" si="321"/>
        <v>0</v>
      </c>
      <c r="V757" s="306">
        <f t="shared" ca="1" si="322"/>
        <v>1.225748950233946</v>
      </c>
      <c r="W757" s="304">
        <f t="shared" ca="1" si="323"/>
        <v>58.306623669396672</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2.516228562196023</v>
      </c>
      <c r="AH757" s="304">
        <f t="shared" ca="1" si="347"/>
        <v>-7.243020465526719</v>
      </c>
    </row>
    <row r="758" spans="1:34" x14ac:dyDescent="0.3">
      <c r="A758" s="347">
        <f t="shared" ca="1" si="325"/>
        <v>1E-4</v>
      </c>
      <c r="B758" s="304">
        <f t="shared" ca="1" si="326"/>
        <v>33.923500000000992</v>
      </c>
      <c r="D758" s="306">
        <f t="shared" ca="1" si="327"/>
        <v>-0.73579840773835459</v>
      </c>
      <c r="E758" s="307">
        <f t="shared" ca="1" si="328"/>
        <v>-2.6044117466939385</v>
      </c>
      <c r="F758" s="304">
        <f t="shared" ca="1" si="329"/>
        <v>2.7063554539542047</v>
      </c>
      <c r="G758" s="306">
        <f t="shared" ca="1" si="330"/>
        <v>12.569017373496433</v>
      </c>
      <c r="H758" s="307">
        <f t="shared" ca="1" si="331"/>
        <v>-123.08790669809258</v>
      </c>
      <c r="I758" s="304">
        <f t="shared" ca="1" si="332"/>
        <v>123.72797975015028</v>
      </c>
      <c r="J758" s="306">
        <f t="shared" ca="1" si="333"/>
        <v>780.60585379989482</v>
      </c>
      <c r="K758" s="307">
        <f t="shared" ca="1" si="334"/>
        <v>-6.1243198334869104</v>
      </c>
      <c r="L758" s="304">
        <f t="shared" ca="1" si="319"/>
        <v>780.62987790635168</v>
      </c>
      <c r="M758" s="306">
        <f t="shared" ca="1" si="335"/>
        <v>-1.4690348943392637</v>
      </c>
      <c r="N758" s="304">
        <f t="shared" ca="1" si="336"/>
        <v>-84.169499403086647</v>
      </c>
      <c r="P758" s="310">
        <f t="shared" ca="1" si="337"/>
        <v>23</v>
      </c>
      <c r="Q758" s="304">
        <f t="shared" ca="1" si="338"/>
        <v>0</v>
      </c>
      <c r="R758" s="306">
        <f t="shared" ca="1" si="339"/>
        <v>0</v>
      </c>
      <c r="S758" s="307">
        <f t="shared" ca="1" si="340"/>
        <v>8.0499999999999989</v>
      </c>
      <c r="T758" s="304">
        <f t="shared" ca="1" si="320"/>
        <v>78.970499999999987</v>
      </c>
      <c r="U758" s="311">
        <f t="shared" ca="1" si="321"/>
        <v>0</v>
      </c>
      <c r="V758" s="306">
        <f t="shared" ca="1" si="322"/>
        <v>1.225750458982144</v>
      </c>
      <c r="W758" s="304">
        <f t="shared" ca="1" si="323"/>
        <v>58.30693258906836</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2.5161909894974537</v>
      </c>
      <c r="AH758" s="304">
        <f t="shared" ca="1" si="347"/>
        <v>-7.2430588409188426</v>
      </c>
    </row>
    <row r="759" spans="1:34" x14ac:dyDescent="0.3">
      <c r="A759" s="347">
        <f t="shared" ca="1" si="325"/>
        <v>1E-4</v>
      </c>
      <c r="B759" s="304">
        <f t="shared" ca="1" si="326"/>
        <v>33.923600000000995</v>
      </c>
      <c r="D759" s="306">
        <f t="shared" ca="1" si="327"/>
        <v>-0.73579650237630279</v>
      </c>
      <c r="E759" s="307">
        <f t="shared" ca="1" si="328"/>
        <v>-2.6043729774570847</v>
      </c>
      <c r="F759" s="304">
        <f t="shared" ca="1" si="329"/>
        <v>2.706317627075189</v>
      </c>
      <c r="G759" s="306">
        <f t="shared" ca="1" si="330"/>
        <v>12.568943793846195</v>
      </c>
      <c r="H759" s="307">
        <f t="shared" ca="1" si="331"/>
        <v>-123.08816713539032</v>
      </c>
      <c r="I759" s="304">
        <f t="shared" ca="1" si="332"/>
        <v>123.72823136553212</v>
      </c>
      <c r="J759" s="306">
        <f t="shared" ca="1" si="333"/>
        <v>780.60585379989482</v>
      </c>
      <c r="K759" s="307">
        <f t="shared" ca="1" si="334"/>
        <v>-6.1366286371785845</v>
      </c>
      <c r="L759" s="304">
        <f t="shared" ca="1" si="319"/>
        <v>780.62997457034237</v>
      </c>
      <c r="M759" s="306">
        <f t="shared" ca="1" si="335"/>
        <v>-1.4690356997800302</v>
      </c>
      <c r="N759" s="304">
        <f t="shared" ca="1" si="336"/>
        <v>-84.169545551443207</v>
      </c>
      <c r="P759" s="310">
        <f t="shared" ca="1" si="337"/>
        <v>23</v>
      </c>
      <c r="Q759" s="304">
        <f t="shared" ca="1" si="338"/>
        <v>0</v>
      </c>
      <c r="R759" s="306">
        <f t="shared" ca="1" si="339"/>
        <v>0</v>
      </c>
      <c r="S759" s="307">
        <f t="shared" ca="1" si="340"/>
        <v>8.0499999999999989</v>
      </c>
      <c r="T759" s="304">
        <f t="shared" ca="1" si="320"/>
        <v>78.970499999999987</v>
      </c>
      <c r="U759" s="311">
        <f t="shared" ca="1" si="321"/>
        <v>0</v>
      </c>
      <c r="V759" s="306">
        <f t="shared" ca="1" si="322"/>
        <v>1.2257519677353912</v>
      </c>
      <c r="W759" s="304">
        <f t="shared" ca="1" si="323"/>
        <v>58.307241506505122</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2.5161534170622168</v>
      </c>
      <c r="AH759" s="304">
        <f t="shared" ca="1" si="347"/>
        <v>-7.2430972160333376</v>
      </c>
    </row>
    <row r="760" spans="1:34" x14ac:dyDescent="0.3">
      <c r="A760" s="347">
        <f t="shared" ca="1" si="325"/>
        <v>1E-4</v>
      </c>
      <c r="B760" s="304">
        <f t="shared" ca="1" si="326"/>
        <v>33.923700000000999</v>
      </c>
      <c r="D760" s="306">
        <f t="shared" ca="1" si="327"/>
        <v>-0.73579459698165373</v>
      </c>
      <c r="E760" s="307">
        <f t="shared" ca="1" si="328"/>
        <v>-2.6043342085007009</v>
      </c>
      <c r="F760" s="304">
        <f t="shared" ca="1" si="329"/>
        <v>2.7062798004852282</v>
      </c>
      <c r="G760" s="306">
        <f t="shared" ca="1" si="330"/>
        <v>12.568870214386497</v>
      </c>
      <c r="H760" s="307">
        <f t="shared" ca="1" si="331"/>
        <v>-123.08842756881117</v>
      </c>
      <c r="I760" s="304">
        <f t="shared" ca="1" si="332"/>
        <v>123.72848297715674</v>
      </c>
      <c r="J760" s="306">
        <f t="shared" ca="1" si="333"/>
        <v>780.60585379989482</v>
      </c>
      <c r="K760" s="307">
        <f t="shared" ca="1" si="334"/>
        <v>-6.1489374669137948</v>
      </c>
      <c r="L760" s="304">
        <f t="shared" ca="1" si="319"/>
        <v>780.63007142860863</v>
      </c>
      <c r="M760" s="306">
        <f t="shared" ca="1" si="335"/>
        <v>-1.4690365052128058</v>
      </c>
      <c r="N760" s="304">
        <f t="shared" ca="1" si="336"/>
        <v>-84.169591699341936</v>
      </c>
      <c r="P760" s="310">
        <f t="shared" ca="1" si="337"/>
        <v>23</v>
      </c>
      <c r="Q760" s="304">
        <f t="shared" ca="1" si="338"/>
        <v>0</v>
      </c>
      <c r="R760" s="306">
        <f t="shared" ca="1" si="339"/>
        <v>0</v>
      </c>
      <c r="S760" s="307">
        <f t="shared" ca="1" si="340"/>
        <v>8.0499999999999989</v>
      </c>
      <c r="T760" s="304">
        <f t="shared" ca="1" si="320"/>
        <v>78.970499999999987</v>
      </c>
      <c r="U760" s="311">
        <f t="shared" ca="1" si="321"/>
        <v>0</v>
      </c>
      <c r="V760" s="306">
        <f t="shared" ca="1" si="322"/>
        <v>1.2257534764936893</v>
      </c>
      <c r="W760" s="304">
        <f t="shared" ca="1" si="323"/>
        <v>58.307550421706999</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2.516115844890316</v>
      </c>
      <c r="AH760" s="304">
        <f t="shared" ca="1" si="347"/>
        <v>-7.2431355908702022</v>
      </c>
    </row>
    <row r="761" spans="1:34" x14ac:dyDescent="0.3">
      <c r="A761" s="347">
        <f t="shared" ca="1" si="325"/>
        <v>1E-4</v>
      </c>
      <c r="B761" s="304">
        <f t="shared" ca="1" si="326"/>
        <v>33.923800000001002</v>
      </c>
      <c r="D761" s="306">
        <f t="shared" ca="1" si="327"/>
        <v>-0.73579269155440785</v>
      </c>
      <c r="E761" s="307">
        <f t="shared" ca="1" si="328"/>
        <v>-2.6042954398247788</v>
      </c>
      <c r="F761" s="304">
        <f t="shared" ca="1" si="329"/>
        <v>2.7062419741843149</v>
      </c>
      <c r="G761" s="306">
        <f t="shared" ca="1" si="330"/>
        <v>12.568796635117341</v>
      </c>
      <c r="H761" s="307">
        <f t="shared" ca="1" si="331"/>
        <v>-123.08868799835516</v>
      </c>
      <c r="I761" s="304">
        <f t="shared" ca="1" si="332"/>
        <v>123.72873458502418</v>
      </c>
      <c r="J761" s="306">
        <f t="shared" ca="1" si="333"/>
        <v>780.60585379989482</v>
      </c>
      <c r="K761" s="307">
        <f t="shared" ca="1" si="334"/>
        <v>-6.1612463226921532</v>
      </c>
      <c r="L761" s="304">
        <f t="shared" ca="1" si="319"/>
        <v>780.63016848115194</v>
      </c>
      <c r="M761" s="306">
        <f t="shared" ca="1" si="335"/>
        <v>-1.4690373106375907</v>
      </c>
      <c r="N761" s="304">
        <f t="shared" ca="1" si="336"/>
        <v>-84.16963784678282</v>
      </c>
      <c r="P761" s="310">
        <f t="shared" ca="1" si="337"/>
        <v>23</v>
      </c>
      <c r="Q761" s="304">
        <f t="shared" ca="1" si="338"/>
        <v>0</v>
      </c>
      <c r="R761" s="306">
        <f t="shared" ca="1" si="339"/>
        <v>0</v>
      </c>
      <c r="S761" s="307">
        <f t="shared" ca="1" si="340"/>
        <v>8.0499999999999989</v>
      </c>
      <c r="T761" s="304">
        <f t="shared" ca="1" si="320"/>
        <v>78.970499999999987</v>
      </c>
      <c r="U761" s="311">
        <f t="shared" ca="1" si="321"/>
        <v>0</v>
      </c>
      <c r="V761" s="306">
        <f t="shared" ca="1" si="322"/>
        <v>1.2257549852570369</v>
      </c>
      <c r="W761" s="304">
        <f t="shared" ca="1" si="323"/>
        <v>58.307859334673957</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2.5160782729817459</v>
      </c>
      <c r="AH761" s="304">
        <f t="shared" ca="1" si="347"/>
        <v>-7.2431739654294418</v>
      </c>
    </row>
    <row r="762" spans="1:34" x14ac:dyDescent="0.3">
      <c r="A762" s="347">
        <f t="shared" ca="1" si="325"/>
        <v>1E-4</v>
      </c>
      <c r="B762" s="304">
        <f t="shared" ca="1" si="326"/>
        <v>33.923900000001005</v>
      </c>
      <c r="D762" s="306">
        <f t="shared" ca="1" si="327"/>
        <v>-0.7357907860945645</v>
      </c>
      <c r="E762" s="307">
        <f t="shared" ca="1" si="328"/>
        <v>-2.6042566714293258</v>
      </c>
      <c r="F762" s="304">
        <f t="shared" ca="1" si="329"/>
        <v>2.7062041481724561</v>
      </c>
      <c r="G762" s="306">
        <f t="shared" ca="1" si="330"/>
        <v>12.568723056038731</v>
      </c>
      <c r="H762" s="307">
        <f t="shared" ca="1" si="331"/>
        <v>-123.08894842402229</v>
      </c>
      <c r="I762" s="304">
        <f t="shared" ca="1" si="332"/>
        <v>123.72898618913443</v>
      </c>
      <c r="J762" s="306">
        <f t="shared" ca="1" si="333"/>
        <v>780.60585379989482</v>
      </c>
      <c r="K762" s="307">
        <f t="shared" ca="1" si="334"/>
        <v>-6.1735552045132724</v>
      </c>
      <c r="L762" s="304">
        <f t="shared" ca="1" si="319"/>
        <v>780.6302657279731</v>
      </c>
      <c r="M762" s="306">
        <f t="shared" ca="1" si="335"/>
        <v>-1.4690381160543848</v>
      </c>
      <c r="N762" s="304">
        <f t="shared" ca="1" si="336"/>
        <v>-84.169683993765872</v>
      </c>
      <c r="P762" s="310">
        <f t="shared" ca="1" si="337"/>
        <v>23</v>
      </c>
      <c r="Q762" s="304">
        <f t="shared" ca="1" si="338"/>
        <v>0</v>
      </c>
      <c r="R762" s="306">
        <f t="shared" ca="1" si="339"/>
        <v>0</v>
      </c>
      <c r="S762" s="307">
        <f t="shared" ca="1" si="340"/>
        <v>8.0499999999999989</v>
      </c>
      <c r="T762" s="304">
        <f t="shared" ca="1" si="320"/>
        <v>78.970499999999987</v>
      </c>
      <c r="U762" s="311">
        <f t="shared" ca="1" si="321"/>
        <v>0</v>
      </c>
      <c r="V762" s="306">
        <f t="shared" ca="1" si="322"/>
        <v>1.2257564940254344</v>
      </c>
      <c r="W762" s="304">
        <f t="shared" ca="1" si="323"/>
        <v>58.308168245405945</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2.5160407013365118</v>
      </c>
      <c r="AH762" s="304">
        <f t="shared" ca="1" si="347"/>
        <v>-7.2432123397110511</v>
      </c>
    </row>
    <row r="763" spans="1:34" x14ac:dyDescent="0.3">
      <c r="A763" s="347">
        <f t="shared" ca="1" si="325"/>
        <v>1E-4</v>
      </c>
      <c r="B763" s="304">
        <f t="shared" ca="1" si="326"/>
        <v>33.924000000001008</v>
      </c>
      <c r="D763" s="306">
        <f t="shared" ca="1" si="327"/>
        <v>-0.735788880602125</v>
      </c>
      <c r="E763" s="307">
        <f t="shared" ca="1" si="328"/>
        <v>-2.6042179033143462</v>
      </c>
      <c r="F763" s="304">
        <f t="shared" ca="1" si="329"/>
        <v>2.7061663224496564</v>
      </c>
      <c r="G763" s="306">
        <f t="shared" ca="1" si="330"/>
        <v>12.568649477150672</v>
      </c>
      <c r="H763" s="307">
        <f t="shared" ca="1" si="331"/>
        <v>-123.08920884581262</v>
      </c>
      <c r="I763" s="304">
        <f t="shared" ca="1" si="332"/>
        <v>123.72923778948756</v>
      </c>
      <c r="J763" s="306">
        <f t="shared" ca="1" si="333"/>
        <v>780.60585379989482</v>
      </c>
      <c r="K763" s="307">
        <f t="shared" ca="1" si="334"/>
        <v>-6.1858641123767644</v>
      </c>
      <c r="L763" s="304">
        <f t="shared" ca="1" si="319"/>
        <v>780.63036316907346</v>
      </c>
      <c r="M763" s="306">
        <f t="shared" ca="1" si="335"/>
        <v>-1.4690389214631883</v>
      </c>
      <c r="N763" s="304">
        <f t="shared" ca="1" si="336"/>
        <v>-84.169730140291094</v>
      </c>
      <c r="P763" s="310">
        <f t="shared" ca="1" si="337"/>
        <v>23</v>
      </c>
      <c r="Q763" s="304">
        <f t="shared" ca="1" si="338"/>
        <v>0</v>
      </c>
      <c r="R763" s="306">
        <f t="shared" ca="1" si="339"/>
        <v>0</v>
      </c>
      <c r="S763" s="307">
        <f t="shared" ca="1" si="340"/>
        <v>8.0499999999999989</v>
      </c>
      <c r="T763" s="304">
        <f t="shared" ca="1" si="320"/>
        <v>78.970499999999987</v>
      </c>
      <c r="U763" s="311">
        <f t="shared" ca="1" si="321"/>
        <v>0</v>
      </c>
      <c r="V763" s="306">
        <f t="shared" ca="1" si="322"/>
        <v>1.2257580027988817</v>
      </c>
      <c r="W763" s="304">
        <f t="shared" ca="1" si="323"/>
        <v>58.308477153903013</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2.5160031299546199</v>
      </c>
      <c r="AH763" s="304">
        <f t="shared" ca="1" si="347"/>
        <v>-7.2432507137150255</v>
      </c>
    </row>
    <row r="764" spans="1:34" x14ac:dyDescent="0.3">
      <c r="A764" s="347">
        <f t="shared" ca="1" si="325"/>
        <v>1E-4</v>
      </c>
      <c r="B764" s="304">
        <f t="shared" ca="1" si="326"/>
        <v>33.924100000001012</v>
      </c>
      <c r="D764" s="306">
        <f t="shared" ca="1" si="327"/>
        <v>-0.73578697507709112</v>
      </c>
      <c r="E764" s="307">
        <f t="shared" ca="1" si="328"/>
        <v>-2.6041791354798365</v>
      </c>
      <c r="F764" s="304">
        <f t="shared" ca="1" si="329"/>
        <v>2.706128497015913</v>
      </c>
      <c r="G764" s="306">
        <f t="shared" ca="1" si="330"/>
        <v>12.568575898453163</v>
      </c>
      <c r="H764" s="307">
        <f t="shared" ca="1" si="331"/>
        <v>-123.08946926372617</v>
      </c>
      <c r="I764" s="304">
        <f t="shared" ca="1" si="332"/>
        <v>123.72948938608357</v>
      </c>
      <c r="J764" s="306">
        <f t="shared" ca="1" si="333"/>
        <v>780.60585379989482</v>
      </c>
      <c r="K764" s="307">
        <f t="shared" ca="1" si="334"/>
        <v>-6.1981730462822417</v>
      </c>
      <c r="L764" s="304">
        <f t="shared" ca="1" si="319"/>
        <v>780.63046080445406</v>
      </c>
      <c r="M764" s="306">
        <f t="shared" ca="1" si="335"/>
        <v>-1.4690397268640014</v>
      </c>
      <c r="N764" s="304">
        <f t="shared" ca="1" si="336"/>
        <v>-84.169776286358498</v>
      </c>
      <c r="P764" s="310">
        <f t="shared" ca="1" si="337"/>
        <v>23</v>
      </c>
      <c r="Q764" s="304">
        <f t="shared" ca="1" si="338"/>
        <v>0</v>
      </c>
      <c r="R764" s="306">
        <f t="shared" ca="1" si="339"/>
        <v>0</v>
      </c>
      <c r="S764" s="307">
        <f t="shared" ca="1" si="340"/>
        <v>8.0499999999999989</v>
      </c>
      <c r="T764" s="304">
        <f t="shared" ca="1" si="320"/>
        <v>78.970499999999987</v>
      </c>
      <c r="U764" s="311">
        <f t="shared" ca="1" si="321"/>
        <v>0</v>
      </c>
      <c r="V764" s="306">
        <f t="shared" ca="1" si="322"/>
        <v>1.2257595115773792</v>
      </c>
      <c r="W764" s="304">
        <f t="shared" ca="1" si="323"/>
        <v>58.308786060165168</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2.515965558836065</v>
      </c>
      <c r="AH764" s="304">
        <f t="shared" ca="1" si="347"/>
        <v>-7.2432890874413687</v>
      </c>
    </row>
    <row r="765" spans="1:34" x14ac:dyDescent="0.3">
      <c r="A765" s="347">
        <f t="shared" ca="1" si="325"/>
        <v>1E-4</v>
      </c>
      <c r="B765" s="304">
        <f t="shared" ca="1" si="326"/>
        <v>33.924200000001015</v>
      </c>
      <c r="D765" s="306">
        <f t="shared" ca="1" si="327"/>
        <v>-0.73578506951946165</v>
      </c>
      <c r="E765" s="307">
        <f t="shared" ca="1" si="328"/>
        <v>-2.6041403679257931</v>
      </c>
      <c r="F765" s="304">
        <f t="shared" ca="1" si="329"/>
        <v>2.7060906718712223</v>
      </c>
      <c r="G765" s="306">
        <f t="shared" ca="1" si="330"/>
        <v>12.568502319946212</v>
      </c>
      <c r="H765" s="307">
        <f t="shared" ca="1" si="331"/>
        <v>-123.08972967776296</v>
      </c>
      <c r="I765" s="304">
        <f t="shared" ca="1" si="332"/>
        <v>123.72974097892249</v>
      </c>
      <c r="J765" s="306">
        <f t="shared" ca="1" si="333"/>
        <v>780.60585379989482</v>
      </c>
      <c r="K765" s="307">
        <f t="shared" ca="1" si="334"/>
        <v>-6.2104820062293165</v>
      </c>
      <c r="L765" s="304">
        <f t="shared" ca="1" si="319"/>
        <v>780.63055863411626</v>
      </c>
      <c r="M765" s="306">
        <f t="shared" ca="1" si="335"/>
        <v>-1.4690405322568241</v>
      </c>
      <c r="N765" s="304">
        <f t="shared" ca="1" si="336"/>
        <v>-84.169822431968086</v>
      </c>
      <c r="P765" s="310">
        <f t="shared" ca="1" si="337"/>
        <v>23</v>
      </c>
      <c r="Q765" s="304">
        <f t="shared" ca="1" si="338"/>
        <v>0</v>
      </c>
      <c r="R765" s="306">
        <f t="shared" ca="1" si="339"/>
        <v>0</v>
      </c>
      <c r="S765" s="307">
        <f t="shared" ca="1" si="340"/>
        <v>8.0499999999999989</v>
      </c>
      <c r="T765" s="304">
        <f t="shared" ca="1" si="320"/>
        <v>78.970499999999987</v>
      </c>
      <c r="U765" s="311">
        <f t="shared" ca="1" si="321"/>
        <v>0</v>
      </c>
      <c r="V765" s="306">
        <f t="shared" ca="1" si="322"/>
        <v>1.2257610203609262</v>
      </c>
      <c r="W765" s="304">
        <f t="shared" ca="1" si="323"/>
        <v>58.309094964192333</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2.5159279879808434</v>
      </c>
      <c r="AH765" s="304">
        <f t="shared" ca="1" si="347"/>
        <v>-7.2433274608900842</v>
      </c>
    </row>
    <row r="766" spans="1:34" x14ac:dyDescent="0.3">
      <c r="A766" s="347">
        <f t="shared" ca="1" si="325"/>
        <v>1E-4</v>
      </c>
      <c r="B766" s="304">
        <f t="shared" ca="1" si="326"/>
        <v>33.924300000001018</v>
      </c>
      <c r="D766" s="306">
        <f t="shared" ca="1" si="327"/>
        <v>-0.73578316392923881</v>
      </c>
      <c r="E766" s="307">
        <f t="shared" ca="1" si="328"/>
        <v>-2.6041016006522266</v>
      </c>
      <c r="F766" s="304">
        <f t="shared" ca="1" si="329"/>
        <v>2.7060528470155956</v>
      </c>
      <c r="G766" s="306">
        <f t="shared" ca="1" si="330"/>
        <v>12.56842874162982</v>
      </c>
      <c r="H766" s="307">
        <f t="shared" ca="1" si="331"/>
        <v>-123.08999008792303</v>
      </c>
      <c r="I766" s="304">
        <f t="shared" ca="1" si="332"/>
        <v>123.72999256800436</v>
      </c>
      <c r="J766" s="306">
        <f t="shared" ca="1" si="333"/>
        <v>780.60585379989482</v>
      </c>
      <c r="K766" s="307">
        <f t="shared" ca="1" si="334"/>
        <v>-6.2227909922176003</v>
      </c>
      <c r="L766" s="304">
        <f t="shared" ca="1" si="319"/>
        <v>780.63065665806107</v>
      </c>
      <c r="M766" s="306">
        <f t="shared" ca="1" si="335"/>
        <v>-1.4690413376416565</v>
      </c>
      <c r="N766" s="304">
        <f t="shared" ca="1" si="336"/>
        <v>-84.169868577119871</v>
      </c>
      <c r="P766" s="310">
        <f t="shared" ca="1" si="337"/>
        <v>23</v>
      </c>
      <c r="Q766" s="304">
        <f t="shared" ca="1" si="338"/>
        <v>0</v>
      </c>
      <c r="R766" s="306">
        <f t="shared" ca="1" si="339"/>
        <v>0</v>
      </c>
      <c r="S766" s="307">
        <f t="shared" ca="1" si="340"/>
        <v>8.0499999999999989</v>
      </c>
      <c r="T766" s="304">
        <f t="shared" ca="1" si="320"/>
        <v>78.970499999999987</v>
      </c>
      <c r="U766" s="311">
        <f t="shared" ca="1" si="321"/>
        <v>0</v>
      </c>
      <c r="V766" s="306">
        <f t="shared" ca="1" si="322"/>
        <v>1.2257625291495231</v>
      </c>
      <c r="W766" s="304">
        <f t="shared" ca="1" si="323"/>
        <v>58.309403865984578</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2.5158904173889685</v>
      </c>
      <c r="AH766" s="304">
        <f t="shared" ca="1" si="347"/>
        <v>-7.2433658340611604</v>
      </c>
    </row>
    <row r="767" spans="1:34" x14ac:dyDescent="0.3">
      <c r="A767" s="347">
        <f t="shared" ca="1" si="325"/>
        <v>1E-4</v>
      </c>
      <c r="B767" s="304">
        <f t="shared" ca="1" si="326"/>
        <v>33.924400000001022</v>
      </c>
      <c r="D767" s="306">
        <f t="shared" ca="1" si="327"/>
        <v>-0.73578125830642338</v>
      </c>
      <c r="E767" s="307">
        <f t="shared" ca="1" si="328"/>
        <v>-2.6040628336591283</v>
      </c>
      <c r="F767" s="304">
        <f t="shared" ca="1" si="329"/>
        <v>2.7060150224490243</v>
      </c>
      <c r="G767" s="306">
        <f t="shared" ca="1" si="330"/>
        <v>12.568355163503989</v>
      </c>
      <c r="H767" s="307">
        <f t="shared" ca="1" si="331"/>
        <v>-123.09025049420639</v>
      </c>
      <c r="I767" s="304">
        <f t="shared" ca="1" si="332"/>
        <v>123.7302441533292</v>
      </c>
      <c r="J767" s="306">
        <f t="shared" ca="1" si="333"/>
        <v>780.60585379989482</v>
      </c>
      <c r="K767" s="307">
        <f t="shared" ca="1" si="334"/>
        <v>-6.2351000042467071</v>
      </c>
      <c r="L767" s="304">
        <f t="shared" ca="1" si="319"/>
        <v>780.63075487628964</v>
      </c>
      <c r="M767" s="306">
        <f t="shared" ca="1" si="335"/>
        <v>-1.4690421430184988</v>
      </c>
      <c r="N767" s="304">
        <f t="shared" ca="1" si="336"/>
        <v>-84.169914721813853</v>
      </c>
      <c r="P767" s="310">
        <f t="shared" ca="1" si="337"/>
        <v>23</v>
      </c>
      <c r="Q767" s="304">
        <f t="shared" ca="1" si="338"/>
        <v>0</v>
      </c>
      <c r="R767" s="306">
        <f t="shared" ca="1" si="339"/>
        <v>0</v>
      </c>
      <c r="S767" s="307">
        <f t="shared" ca="1" si="340"/>
        <v>8.0499999999999989</v>
      </c>
      <c r="T767" s="304">
        <f t="shared" ca="1" si="320"/>
        <v>78.970499999999987</v>
      </c>
      <c r="U767" s="311">
        <f t="shared" ca="1" si="321"/>
        <v>0</v>
      </c>
      <c r="V767" s="306">
        <f t="shared" ca="1" si="322"/>
        <v>1.2257640379431696</v>
      </c>
      <c r="W767" s="304">
        <f t="shared" ca="1" si="323"/>
        <v>58.309712765541846</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2.5158528470604304</v>
      </c>
      <c r="AH767" s="304">
        <f t="shared" ca="1" si="347"/>
        <v>-7.2434042069546072</v>
      </c>
    </row>
    <row r="768" spans="1:34" x14ac:dyDescent="0.3">
      <c r="A768" s="347">
        <f t="shared" ca="1" si="325"/>
        <v>1E-4</v>
      </c>
      <c r="B768" s="304">
        <f t="shared" ca="1" si="326"/>
        <v>33.924500000001025</v>
      </c>
      <c r="D768" s="306">
        <f t="shared" ca="1" si="327"/>
        <v>-0.73577935265101457</v>
      </c>
      <c r="E768" s="307">
        <f t="shared" ca="1" si="328"/>
        <v>-2.604024066946506</v>
      </c>
      <c r="F768" s="304">
        <f t="shared" ca="1" si="329"/>
        <v>2.7059771981715159</v>
      </c>
      <c r="G768" s="306">
        <f t="shared" ca="1" si="330"/>
        <v>12.568281585568725</v>
      </c>
      <c r="H768" s="307">
        <f t="shared" ca="1" si="331"/>
        <v>-123.09051089661308</v>
      </c>
      <c r="I768" s="304">
        <f t="shared" ca="1" si="332"/>
        <v>123.73049573489703</v>
      </c>
      <c r="J768" s="306">
        <f t="shared" ca="1" si="333"/>
        <v>780.60585379989482</v>
      </c>
      <c r="K768" s="307">
        <f t="shared" ca="1" si="334"/>
        <v>-6.2474090423162476</v>
      </c>
      <c r="L768" s="304">
        <f t="shared" ca="1" si="319"/>
        <v>780.630853288803</v>
      </c>
      <c r="M768" s="306">
        <f t="shared" ca="1" si="335"/>
        <v>-1.4690429483873511</v>
      </c>
      <c r="N768" s="304">
        <f t="shared" ca="1" si="336"/>
        <v>-84.169960866050047</v>
      </c>
      <c r="P768" s="310">
        <f t="shared" ca="1" si="337"/>
        <v>23</v>
      </c>
      <c r="Q768" s="304">
        <f t="shared" ca="1" si="338"/>
        <v>0</v>
      </c>
      <c r="R768" s="306">
        <f t="shared" ca="1" si="339"/>
        <v>0</v>
      </c>
      <c r="S768" s="307">
        <f t="shared" ca="1" si="340"/>
        <v>8.0499999999999989</v>
      </c>
      <c r="T768" s="304">
        <f t="shared" ca="1" si="320"/>
        <v>78.970499999999987</v>
      </c>
      <c r="U768" s="311">
        <f t="shared" ca="1" si="321"/>
        <v>0</v>
      </c>
      <c r="V768" s="306">
        <f t="shared" ca="1" si="322"/>
        <v>1.2257655467418658</v>
      </c>
      <c r="W768" s="304">
        <f t="shared" ca="1" si="323"/>
        <v>58.310021662864152</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2.5158152769952373</v>
      </c>
      <c r="AH768" s="304">
        <f t="shared" ca="1" si="347"/>
        <v>-7.2434425795704165</v>
      </c>
    </row>
    <row r="769" spans="1:34" x14ac:dyDescent="0.3">
      <c r="A769" s="347">
        <f t="shared" ca="1" si="325"/>
        <v>1E-4</v>
      </c>
      <c r="B769" s="304">
        <f t="shared" ca="1" si="326"/>
        <v>33.924600000001028</v>
      </c>
      <c r="D769" s="306">
        <f t="shared" ca="1" si="327"/>
        <v>-0.73577744696301428</v>
      </c>
      <c r="E769" s="307">
        <f t="shared" ca="1" si="328"/>
        <v>-2.6039853005143563</v>
      </c>
      <c r="F769" s="304">
        <f t="shared" ca="1" si="329"/>
        <v>2.705939374183068</v>
      </c>
      <c r="G769" s="306">
        <f t="shared" ca="1" si="330"/>
        <v>12.568208007824028</v>
      </c>
      <c r="H769" s="307">
        <f t="shared" ca="1" si="331"/>
        <v>-123.09077129514313</v>
      </c>
      <c r="I769" s="304">
        <f t="shared" ca="1" si="332"/>
        <v>123.73074731270786</v>
      </c>
      <c r="J769" s="306">
        <f t="shared" ca="1" si="333"/>
        <v>780.60585379989482</v>
      </c>
      <c r="K769" s="307">
        <f t="shared" ca="1" si="334"/>
        <v>-6.2597181064258356</v>
      </c>
      <c r="L769" s="304">
        <f t="shared" ca="1" si="319"/>
        <v>780.63095189560261</v>
      </c>
      <c r="M769" s="306">
        <f t="shared" ca="1" si="335"/>
        <v>-1.4690437537482137</v>
      </c>
      <c r="N769" s="304">
        <f t="shared" ca="1" si="336"/>
        <v>-84.170007009828453</v>
      </c>
      <c r="P769" s="310">
        <f t="shared" ca="1" si="337"/>
        <v>23</v>
      </c>
      <c r="Q769" s="304">
        <f t="shared" ca="1" si="338"/>
        <v>0</v>
      </c>
      <c r="R769" s="306">
        <f t="shared" ca="1" si="339"/>
        <v>0</v>
      </c>
      <c r="S769" s="307">
        <f t="shared" ca="1" si="340"/>
        <v>8.0499999999999989</v>
      </c>
      <c r="T769" s="304">
        <f t="shared" ca="1" si="320"/>
        <v>78.970499999999987</v>
      </c>
      <c r="U769" s="311">
        <f t="shared" ca="1" si="321"/>
        <v>0</v>
      </c>
      <c r="V769" s="306">
        <f t="shared" ca="1" si="322"/>
        <v>1.2257670555456117</v>
      </c>
      <c r="W769" s="304">
        <f t="shared" ca="1" si="323"/>
        <v>58.310330557951445</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2.5157777071933882</v>
      </c>
      <c r="AH769" s="304">
        <f t="shared" ca="1" si="347"/>
        <v>-7.243480951908591</v>
      </c>
    </row>
    <row r="770" spans="1:34" x14ac:dyDescent="0.3">
      <c r="A770" s="347">
        <f t="shared" ca="1" si="325"/>
        <v>1E-4</v>
      </c>
      <c r="B770" s="304">
        <f t="shared" ca="1" si="326"/>
        <v>33.924700000001032</v>
      </c>
      <c r="D770" s="306">
        <f t="shared" ca="1" si="327"/>
        <v>-0.73577554124242017</v>
      </c>
      <c r="E770" s="307">
        <f t="shared" ca="1" si="328"/>
        <v>-2.6039465343626862</v>
      </c>
      <c r="F770" s="304">
        <f t="shared" ca="1" si="329"/>
        <v>2.705901550483687</v>
      </c>
      <c r="G770" s="306">
        <f t="shared" ca="1" si="330"/>
        <v>12.568134430269904</v>
      </c>
      <c r="H770" s="307">
        <f t="shared" ca="1" si="331"/>
        <v>-123.09103168979657</v>
      </c>
      <c r="I770" s="304">
        <f t="shared" ca="1" si="332"/>
        <v>123.73099888676175</v>
      </c>
      <c r="J770" s="306">
        <f t="shared" ca="1" si="333"/>
        <v>780.60585379989482</v>
      </c>
      <c r="K770" s="307">
        <f t="shared" ca="1" si="334"/>
        <v>-6.2720271965750829</v>
      </c>
      <c r="L770" s="304">
        <f t="shared" ca="1" si="319"/>
        <v>780.6310506966895</v>
      </c>
      <c r="M770" s="306">
        <f t="shared" ca="1" si="335"/>
        <v>-1.4690445591010863</v>
      </c>
      <c r="N770" s="304">
        <f t="shared" ca="1" si="336"/>
        <v>-84.17005315314907</v>
      </c>
      <c r="P770" s="310">
        <f t="shared" ca="1" si="337"/>
        <v>23</v>
      </c>
      <c r="Q770" s="304">
        <f t="shared" ca="1" si="338"/>
        <v>0</v>
      </c>
      <c r="R770" s="306">
        <f t="shared" ca="1" si="339"/>
        <v>0</v>
      </c>
      <c r="S770" s="307">
        <f t="shared" ca="1" si="340"/>
        <v>8.0499999999999989</v>
      </c>
      <c r="T770" s="304">
        <f t="shared" ca="1" si="320"/>
        <v>78.970499999999987</v>
      </c>
      <c r="U770" s="311">
        <f t="shared" ca="1" si="321"/>
        <v>0</v>
      </c>
      <c r="V770" s="306">
        <f t="shared" ca="1" si="322"/>
        <v>1.225768564354407</v>
      </c>
      <c r="W770" s="304">
        <f t="shared" ca="1" si="323"/>
        <v>58.31063945080377</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2.5157401376548876</v>
      </c>
      <c r="AH770" s="304">
        <f t="shared" ca="1" si="347"/>
        <v>-7.2435193239691245</v>
      </c>
    </row>
    <row r="771" spans="1:34" x14ac:dyDescent="0.3">
      <c r="A771" s="347">
        <f t="shared" ca="1" si="325"/>
        <v>1E-4</v>
      </c>
      <c r="B771" s="304">
        <f t="shared" ca="1" si="326"/>
        <v>33.924800000001035</v>
      </c>
      <c r="D771" s="306">
        <f t="shared" ca="1" si="327"/>
        <v>-0.73577363548923769</v>
      </c>
      <c r="E771" s="307">
        <f t="shared" ca="1" si="328"/>
        <v>-2.6039077684914904</v>
      </c>
      <c r="F771" s="304">
        <f t="shared" ca="1" si="329"/>
        <v>2.705863727073369</v>
      </c>
      <c r="G771" s="306">
        <f t="shared" ca="1" si="330"/>
        <v>12.568060852906354</v>
      </c>
      <c r="H771" s="307">
        <f t="shared" ca="1" si="331"/>
        <v>-123.09129208057341</v>
      </c>
      <c r="I771" s="304">
        <f t="shared" ca="1" si="332"/>
        <v>123.73125045705871</v>
      </c>
      <c r="J771" s="306">
        <f t="shared" ca="1" si="333"/>
        <v>780.60585379989482</v>
      </c>
      <c r="K771" s="307">
        <f t="shared" ca="1" si="334"/>
        <v>-6.2843363127636014</v>
      </c>
      <c r="L771" s="304">
        <f t="shared" ca="1" si="319"/>
        <v>780.63114969206458</v>
      </c>
      <c r="M771" s="306">
        <f t="shared" ca="1" si="335"/>
        <v>-1.4690453644459693</v>
      </c>
      <c r="N771" s="304">
        <f t="shared" ca="1" si="336"/>
        <v>-84.170099296011927</v>
      </c>
      <c r="P771" s="310">
        <f t="shared" ca="1" si="337"/>
        <v>23</v>
      </c>
      <c r="Q771" s="304">
        <f t="shared" ca="1" si="338"/>
        <v>0</v>
      </c>
      <c r="R771" s="306">
        <f t="shared" ca="1" si="339"/>
        <v>0</v>
      </c>
      <c r="S771" s="307">
        <f t="shared" ca="1" si="340"/>
        <v>8.0499999999999989</v>
      </c>
      <c r="T771" s="304">
        <f t="shared" ca="1" si="320"/>
        <v>78.970499999999987</v>
      </c>
      <c r="U771" s="311">
        <f t="shared" ca="1" si="321"/>
        <v>0</v>
      </c>
      <c r="V771" s="306">
        <f t="shared" ca="1" si="322"/>
        <v>1.2257700731682526</v>
      </c>
      <c r="W771" s="304">
        <f t="shared" ca="1" si="323"/>
        <v>58.310948341421131</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2.5157025683797318</v>
      </c>
      <c r="AH771" s="304">
        <f t="shared" ca="1" si="347"/>
        <v>-7.2435576957520222</v>
      </c>
    </row>
    <row r="772" spans="1:34" x14ac:dyDescent="0.3">
      <c r="A772" s="347">
        <f t="shared" ca="1" si="325"/>
        <v>1E-4</v>
      </c>
      <c r="B772" s="304">
        <f t="shared" ca="1" si="326"/>
        <v>33.924900000001038</v>
      </c>
      <c r="D772" s="306">
        <f t="shared" ca="1" si="327"/>
        <v>-0.73577172970346538</v>
      </c>
      <c r="E772" s="307">
        <f t="shared" ca="1" si="328"/>
        <v>-2.6038690029007689</v>
      </c>
      <c r="F772" s="304">
        <f t="shared" ca="1" si="329"/>
        <v>2.705825903952114</v>
      </c>
      <c r="G772" s="306">
        <f t="shared" ca="1" si="330"/>
        <v>12.567987275733383</v>
      </c>
      <c r="H772" s="307">
        <f t="shared" ca="1" si="331"/>
        <v>-123.0915524674737</v>
      </c>
      <c r="I772" s="304">
        <f t="shared" ca="1" si="332"/>
        <v>123.73150202359878</v>
      </c>
      <c r="J772" s="306">
        <f t="shared" ca="1" si="333"/>
        <v>780.60585379989482</v>
      </c>
      <c r="K772" s="307">
        <f t="shared" ca="1" si="334"/>
        <v>-6.2966454549910038</v>
      </c>
      <c r="L772" s="304">
        <f t="shared" ref="L772:L835" ca="1" si="348">SQRT(pos_x^2+pos_z^2)</f>
        <v>780.63124888172945</v>
      </c>
      <c r="M772" s="306">
        <f t="shared" ca="1" si="335"/>
        <v>-1.469046169782863</v>
      </c>
      <c r="N772" s="304">
        <f t="shared" ca="1" si="336"/>
        <v>-84.170145438417009</v>
      </c>
      <c r="P772" s="310">
        <f t="shared" ca="1" si="337"/>
        <v>23</v>
      </c>
      <c r="Q772" s="304">
        <f t="shared" ca="1" si="338"/>
        <v>0</v>
      </c>
      <c r="R772" s="306">
        <f t="shared" ca="1" si="339"/>
        <v>0</v>
      </c>
      <c r="S772" s="307">
        <f t="shared" ca="1" si="340"/>
        <v>8.0499999999999989</v>
      </c>
      <c r="T772" s="304">
        <f t="shared" ref="T772:T835" ca="1" si="349">m*g</f>
        <v>78.970499999999987</v>
      </c>
      <c r="U772" s="311">
        <f t="shared" ref="U772:U835" ca="1" si="350">IF(pos_xz&lt;L_rampe,Poids*COS(Beta),0)</f>
        <v>0</v>
      </c>
      <c r="V772" s="306">
        <f t="shared" ref="V772:V835" ca="1" si="351">Rho_moyen*(20000-Alt_rampe-pos_z)/(20000+Alt_rampe+pos_z)</f>
        <v>1.2257715819871471</v>
      </c>
      <c r="W772" s="304">
        <f t="shared" ref="W772:W835" ca="1" si="352">1/2*Rho*Sref*Cx*vit_xz^2</f>
        <v>58.311257229803473</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2.5156649993679192</v>
      </c>
      <c r="AH772" s="304">
        <f t="shared" ca="1" si="347"/>
        <v>-7.2435960672572843</v>
      </c>
    </row>
    <row r="773" spans="1:34" x14ac:dyDescent="0.3">
      <c r="A773" s="347">
        <f t="shared" ref="A773:A836" ca="1" si="354">IF(B772+0.01&lt;=T_ini+ROUNDUP(Temps_fin_propu,0), 0.01, IF(K772&gt;0, 0.1, 0.0001))</f>
        <v>1E-4</v>
      </c>
      <c r="B773" s="304">
        <f t="shared" ref="B773:B836" ca="1" si="355">B772+pas</f>
        <v>33.925000000001042</v>
      </c>
      <c r="D773" s="306">
        <f t="shared" ref="D773:D836" ca="1" si="356">IF(AND(L772&lt;L_rampe,Poussee&lt;Poids*SIN(M772)),0,(-W772+Poussee)/m*COS(M772)-U772/m*SIN(M772))</f>
        <v>-0.73576982388510226</v>
      </c>
      <c r="E773" s="307">
        <f t="shared" ref="E773:E836" ca="1" si="357">IF(AND(L772&lt;L_rampe,Poussee&lt;Poids*SIN(M772)),0,(-W772+Poussee)/m*SIN(M772)+U772/m*COS(M772)-Poids/m)</f>
        <v>-2.6038302375905271</v>
      </c>
      <c r="F773" s="304">
        <f t="shared" ref="F773:F836" ca="1" si="358">SQRT(acc_x^2+acc_z^2)</f>
        <v>2.7057880811199269</v>
      </c>
      <c r="G773" s="306">
        <f t="shared" ref="G773:G836" ca="1" si="359">G772+acc_x*pas</f>
        <v>12.567913698750996</v>
      </c>
      <c r="H773" s="307">
        <f t="shared" ref="H773:H836" ca="1" si="360">H772+acc_z*pas</f>
        <v>-123.09181285049746</v>
      </c>
      <c r="I773" s="304">
        <f t="shared" ref="I773:I836" ca="1" si="361">SQRT(vit_x^2+vit_z^2)</f>
        <v>123.73175358638196</v>
      </c>
      <c r="J773" s="306">
        <f t="shared" ref="J773:J836" ca="1" si="362">J772+0.5*(vit_x+G772)*pas*(K772&gt;=0)</f>
        <v>780.60585379989482</v>
      </c>
      <c r="K773" s="307">
        <f t="shared" ref="K773:K836" ca="1" si="363">K772+0.5*(vit_z+H772)*pas</f>
        <v>-6.308954623256902</v>
      </c>
      <c r="L773" s="304">
        <f t="shared" ca="1" si="348"/>
        <v>780.63134826568489</v>
      </c>
      <c r="M773" s="306">
        <f t="shared" ref="M773:M836" ca="1" si="364">IF(AND(L772&gt;L_rampe,G773&gt;0),ATAN2(G773,H773),$M$4)</f>
        <v>-1.4690469751117672</v>
      </c>
      <c r="N773" s="304">
        <f t="shared" ref="N773:N836" ca="1" si="365">DEGREES(Beta)</f>
        <v>-84.170191580364346</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8.0499999999999989</v>
      </c>
      <c r="T773" s="304">
        <f t="shared" ca="1" si="349"/>
        <v>78.970499999999987</v>
      </c>
      <c r="U773" s="311">
        <f t="shared" ca="1" si="350"/>
        <v>0</v>
      </c>
      <c r="V773" s="306">
        <f t="shared" ca="1" si="351"/>
        <v>1.2257730908110915</v>
      </c>
      <c r="W773" s="304">
        <f t="shared" ca="1" si="352"/>
        <v>58.311566115950832</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2.5156274306194595</v>
      </c>
      <c r="AH773" s="304">
        <f t="shared" ref="AH773:AH836" ca="1" si="376">IF(AND(L772&lt;L_rampe,Poussee&lt;Poids*SIN(M772)), g*SIN(M772), (-W772+Poussee)/m)</f>
        <v>-7.2436344384849045</v>
      </c>
    </row>
    <row r="774" spans="1:34" x14ac:dyDescent="0.3">
      <c r="A774" s="347">
        <f t="shared" ca="1" si="354"/>
        <v>1E-4</v>
      </c>
      <c r="B774" s="304">
        <f t="shared" ca="1" si="355"/>
        <v>33.925100000001045</v>
      </c>
      <c r="D774" s="306">
        <f t="shared" ca="1" si="356"/>
        <v>-0.73576791803415054</v>
      </c>
      <c r="E774" s="307">
        <f t="shared" ca="1" si="357"/>
        <v>-2.6037914725607623</v>
      </c>
      <c r="F774" s="304">
        <f t="shared" ca="1" si="358"/>
        <v>2.7057502585768058</v>
      </c>
      <c r="G774" s="306">
        <f t="shared" ca="1" si="359"/>
        <v>12.567840121959192</v>
      </c>
      <c r="H774" s="307">
        <f t="shared" ca="1" si="360"/>
        <v>-123.09207322964471</v>
      </c>
      <c r="I774" s="304">
        <f t="shared" ca="1" si="361"/>
        <v>123.73200514540828</v>
      </c>
      <c r="J774" s="306">
        <f t="shared" ca="1" si="362"/>
        <v>780.60585379989482</v>
      </c>
      <c r="K774" s="307">
        <f t="shared" ca="1" si="363"/>
        <v>-6.3212638175609088</v>
      </c>
      <c r="L774" s="304">
        <f t="shared" ca="1" si="348"/>
        <v>780.63144784393228</v>
      </c>
      <c r="M774" s="306">
        <f t="shared" ca="1" si="364"/>
        <v>-1.469047780432682</v>
      </c>
      <c r="N774" s="304">
        <f t="shared" ca="1" si="365"/>
        <v>-84.170237721853923</v>
      </c>
      <c r="P774" s="310">
        <f t="shared" ca="1" si="366"/>
        <v>23</v>
      </c>
      <c r="Q774" s="304">
        <f t="shared" ca="1" si="367"/>
        <v>0</v>
      </c>
      <c r="R774" s="306">
        <f t="shared" ca="1" si="368"/>
        <v>0</v>
      </c>
      <c r="S774" s="307">
        <f t="shared" ca="1" si="369"/>
        <v>8.0499999999999989</v>
      </c>
      <c r="T774" s="304">
        <f t="shared" ca="1" si="349"/>
        <v>78.970499999999987</v>
      </c>
      <c r="U774" s="311">
        <f t="shared" ca="1" si="350"/>
        <v>0</v>
      </c>
      <c r="V774" s="306">
        <f t="shared" ca="1" si="351"/>
        <v>1.2257745996400853</v>
      </c>
      <c r="W774" s="304">
        <f t="shared" ca="1" si="352"/>
        <v>58.31187499986315</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2.5155898621343464</v>
      </c>
      <c r="AH774" s="304">
        <f t="shared" ca="1" si="376"/>
        <v>-7.2436728094348872</v>
      </c>
    </row>
    <row r="775" spans="1:34" x14ac:dyDescent="0.3">
      <c r="A775" s="347">
        <f t="shared" ca="1" si="354"/>
        <v>1E-4</v>
      </c>
      <c r="B775" s="304">
        <f t="shared" ca="1" si="355"/>
        <v>33.925200000001048</v>
      </c>
      <c r="D775" s="306">
        <f t="shared" ca="1" si="356"/>
        <v>-0.7357660121506111</v>
      </c>
      <c r="E775" s="307">
        <f t="shared" ca="1" si="357"/>
        <v>-2.6037527078114797</v>
      </c>
      <c r="F775" s="304">
        <f t="shared" ca="1" si="358"/>
        <v>2.7057124363227563</v>
      </c>
      <c r="G775" s="306">
        <f t="shared" ca="1" si="359"/>
        <v>12.567766545357976</v>
      </c>
      <c r="H775" s="307">
        <f t="shared" ca="1" si="360"/>
        <v>-123.0923336049155</v>
      </c>
      <c r="I775" s="304">
        <f t="shared" ca="1" si="361"/>
        <v>123.73225670067781</v>
      </c>
      <c r="J775" s="306">
        <f t="shared" ca="1" si="362"/>
        <v>780.60585379989482</v>
      </c>
      <c r="K775" s="307">
        <f t="shared" ca="1" si="363"/>
        <v>-6.3335730379026369</v>
      </c>
      <c r="L775" s="304">
        <f t="shared" ca="1" si="348"/>
        <v>780.63154761647263</v>
      </c>
      <c r="M775" s="306">
        <f t="shared" ca="1" si="364"/>
        <v>-1.4690485857456077</v>
      </c>
      <c r="N775" s="304">
        <f t="shared" ca="1" si="365"/>
        <v>-84.170283862885753</v>
      </c>
      <c r="P775" s="310">
        <f t="shared" ca="1" si="366"/>
        <v>23</v>
      </c>
      <c r="Q775" s="304">
        <f t="shared" ca="1" si="367"/>
        <v>0</v>
      </c>
      <c r="R775" s="306">
        <f t="shared" ca="1" si="368"/>
        <v>0</v>
      </c>
      <c r="S775" s="307">
        <f t="shared" ca="1" si="369"/>
        <v>8.0499999999999989</v>
      </c>
      <c r="T775" s="304">
        <f t="shared" ca="1" si="349"/>
        <v>78.970499999999987</v>
      </c>
      <c r="U775" s="311">
        <f t="shared" ca="1" si="350"/>
        <v>0</v>
      </c>
      <c r="V775" s="306">
        <f t="shared" ca="1" si="351"/>
        <v>1.2257761084741285</v>
      </c>
      <c r="W775" s="304">
        <f t="shared" ca="1" si="352"/>
        <v>58.312183881540498</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2.5155522939125881</v>
      </c>
      <c r="AH775" s="304">
        <f t="shared" ca="1" si="376"/>
        <v>-7.2437111801072245</v>
      </c>
    </row>
    <row r="776" spans="1:34" x14ac:dyDescent="0.3">
      <c r="A776" s="347">
        <f t="shared" ca="1" si="354"/>
        <v>1E-4</v>
      </c>
      <c r="B776" s="304">
        <f t="shared" ca="1" si="355"/>
        <v>33.925300000001052</v>
      </c>
      <c r="D776" s="306">
        <f t="shared" ca="1" si="356"/>
        <v>-0.73576410623448485</v>
      </c>
      <c r="E776" s="307">
        <f t="shared" ca="1" si="357"/>
        <v>-2.6037139433426724</v>
      </c>
      <c r="F776" s="304">
        <f t="shared" ca="1" si="358"/>
        <v>2.7056746143577719</v>
      </c>
      <c r="G776" s="306">
        <f t="shared" ca="1" si="359"/>
        <v>12.567692968947354</v>
      </c>
      <c r="H776" s="307">
        <f t="shared" ca="1" si="360"/>
        <v>-123.09259397630983</v>
      </c>
      <c r="I776" s="304">
        <f t="shared" ca="1" si="361"/>
        <v>123.73250825219053</v>
      </c>
      <c r="J776" s="306">
        <f t="shared" ca="1" si="362"/>
        <v>780.60585379989482</v>
      </c>
      <c r="K776" s="307">
        <f t="shared" ca="1" si="363"/>
        <v>-6.3458822842816982</v>
      </c>
      <c r="L776" s="304">
        <f t="shared" ca="1" si="348"/>
        <v>780.6316475833072</v>
      </c>
      <c r="M776" s="306">
        <f t="shared" ca="1" si="364"/>
        <v>-1.4690493910505444</v>
      </c>
      <c r="N776" s="304">
        <f t="shared" ca="1" si="365"/>
        <v>-84.170330003459853</v>
      </c>
      <c r="P776" s="310">
        <f t="shared" ca="1" si="366"/>
        <v>23</v>
      </c>
      <c r="Q776" s="304">
        <f t="shared" ca="1" si="367"/>
        <v>0</v>
      </c>
      <c r="R776" s="306">
        <f t="shared" ca="1" si="368"/>
        <v>0</v>
      </c>
      <c r="S776" s="307">
        <f t="shared" ca="1" si="369"/>
        <v>8.0499999999999989</v>
      </c>
      <c r="T776" s="304">
        <f t="shared" ca="1" si="349"/>
        <v>78.970499999999987</v>
      </c>
      <c r="U776" s="311">
        <f t="shared" ca="1" si="350"/>
        <v>0</v>
      </c>
      <c r="V776" s="306">
        <f t="shared" ca="1" si="351"/>
        <v>1.2257776173132211</v>
      </c>
      <c r="W776" s="304">
        <f t="shared" ca="1" si="352"/>
        <v>58.312492760982785</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2.5155147259541746</v>
      </c>
      <c r="AH776" s="304">
        <f t="shared" ca="1" si="376"/>
        <v>-7.243749550501926</v>
      </c>
    </row>
    <row r="777" spans="1:34" x14ac:dyDescent="0.3">
      <c r="A777" s="347">
        <f t="shared" ca="1" si="354"/>
        <v>1E-4</v>
      </c>
      <c r="B777" s="304">
        <f t="shared" ca="1" si="355"/>
        <v>33.925400000001055</v>
      </c>
      <c r="D777" s="306">
        <f t="shared" ca="1" si="356"/>
        <v>-0.73576220028577044</v>
      </c>
      <c r="E777" s="307">
        <f t="shared" ca="1" si="357"/>
        <v>-2.60367517915435</v>
      </c>
      <c r="F777" s="304">
        <f t="shared" ca="1" si="358"/>
        <v>2.7056367926818625</v>
      </c>
      <c r="G777" s="306">
        <f t="shared" ca="1" si="359"/>
        <v>12.567619392727325</v>
      </c>
      <c r="H777" s="307">
        <f t="shared" ca="1" si="360"/>
        <v>-123.09285434382774</v>
      </c>
      <c r="I777" s="304">
        <f t="shared" ca="1" si="361"/>
        <v>123.73275979994646</v>
      </c>
      <c r="J777" s="306">
        <f t="shared" ca="1" si="362"/>
        <v>780.60585379989482</v>
      </c>
      <c r="K777" s="307">
        <f t="shared" ca="1" si="363"/>
        <v>-6.3581915566977054</v>
      </c>
      <c r="L777" s="304">
        <f t="shared" ca="1" si="348"/>
        <v>780.63174774443712</v>
      </c>
      <c r="M777" s="306">
        <f t="shared" ca="1" si="364"/>
        <v>-1.4690501963474922</v>
      </c>
      <c r="N777" s="304">
        <f t="shared" ca="1" si="365"/>
        <v>-84.170376143576206</v>
      </c>
      <c r="P777" s="310">
        <f t="shared" ca="1" si="366"/>
        <v>23</v>
      </c>
      <c r="Q777" s="304">
        <f t="shared" ca="1" si="367"/>
        <v>0</v>
      </c>
      <c r="R777" s="306">
        <f t="shared" ca="1" si="368"/>
        <v>0</v>
      </c>
      <c r="S777" s="307">
        <f t="shared" ca="1" si="369"/>
        <v>8.0499999999999989</v>
      </c>
      <c r="T777" s="304">
        <f t="shared" ca="1" si="349"/>
        <v>78.970499999999987</v>
      </c>
      <c r="U777" s="311">
        <f t="shared" ca="1" si="350"/>
        <v>0</v>
      </c>
      <c r="V777" s="306">
        <f t="shared" ca="1" si="351"/>
        <v>1.2257791261573634</v>
      </c>
      <c r="W777" s="304">
        <f t="shared" ca="1" si="352"/>
        <v>58.312801638190059</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2.5154771582591211</v>
      </c>
      <c r="AH777" s="304">
        <f t="shared" ca="1" si="376"/>
        <v>-7.2437879206189804</v>
      </c>
    </row>
    <row r="778" spans="1:34" x14ac:dyDescent="0.3">
      <c r="A778" s="347">
        <f t="shared" ca="1" si="354"/>
        <v>1E-4</v>
      </c>
      <c r="B778" s="304">
        <f t="shared" ca="1" si="355"/>
        <v>33.925500000001058</v>
      </c>
      <c r="D778" s="306">
        <f t="shared" ca="1" si="356"/>
        <v>-0.73576029430447021</v>
      </c>
      <c r="E778" s="307">
        <f t="shared" ca="1" si="357"/>
        <v>-2.6036364152465072</v>
      </c>
      <c r="F778" s="304">
        <f t="shared" ca="1" si="358"/>
        <v>2.7055989712950224</v>
      </c>
      <c r="G778" s="306">
        <f t="shared" ca="1" si="359"/>
        <v>12.567545816697894</v>
      </c>
      <c r="H778" s="307">
        <f t="shared" ca="1" si="360"/>
        <v>-123.09311470746927</v>
      </c>
      <c r="I778" s="304">
        <f t="shared" ca="1" si="361"/>
        <v>123.73301134394568</v>
      </c>
      <c r="J778" s="306">
        <f t="shared" ca="1" si="362"/>
        <v>780.60585379989482</v>
      </c>
      <c r="K778" s="307">
        <f t="shared" ca="1" si="363"/>
        <v>-6.3705008551502704</v>
      </c>
      <c r="L778" s="304">
        <f t="shared" ca="1" si="348"/>
        <v>780.63184809986342</v>
      </c>
      <c r="M778" s="306">
        <f t="shared" ca="1" si="364"/>
        <v>-1.4690510016364513</v>
      </c>
      <c r="N778" s="304">
        <f t="shared" ca="1" si="365"/>
        <v>-84.170422283234856</v>
      </c>
      <c r="P778" s="310">
        <f t="shared" ca="1" si="366"/>
        <v>23</v>
      </c>
      <c r="Q778" s="304">
        <f t="shared" ca="1" si="367"/>
        <v>0</v>
      </c>
      <c r="R778" s="306">
        <f t="shared" ca="1" si="368"/>
        <v>0</v>
      </c>
      <c r="S778" s="307">
        <f t="shared" ca="1" si="369"/>
        <v>8.0499999999999989</v>
      </c>
      <c r="T778" s="304">
        <f t="shared" ca="1" si="349"/>
        <v>78.970499999999987</v>
      </c>
      <c r="U778" s="311">
        <f t="shared" ca="1" si="350"/>
        <v>0</v>
      </c>
      <c r="V778" s="306">
        <f t="shared" ca="1" si="351"/>
        <v>1.225780635006555</v>
      </c>
      <c r="W778" s="304">
        <f t="shared" ca="1" si="352"/>
        <v>58.313110513162307</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2.5154395908274161</v>
      </c>
      <c r="AH778" s="304">
        <f t="shared" ca="1" si="376"/>
        <v>-7.2438262904583937</v>
      </c>
    </row>
    <row r="779" spans="1:34" x14ac:dyDescent="0.3">
      <c r="A779" s="347">
        <f t="shared" ca="1" si="354"/>
        <v>1E-4</v>
      </c>
      <c r="B779" s="304">
        <f t="shared" ca="1" si="355"/>
        <v>33.925600000001062</v>
      </c>
      <c r="D779" s="306">
        <f t="shared" ca="1" si="356"/>
        <v>-0.73575838829058415</v>
      </c>
      <c r="E779" s="307">
        <f t="shared" ca="1" si="357"/>
        <v>-2.6035976516191468</v>
      </c>
      <c r="F779" s="304">
        <f t="shared" ca="1" si="358"/>
        <v>2.705561150197255</v>
      </c>
      <c r="G779" s="306">
        <f t="shared" ca="1" si="359"/>
        <v>12.567472240859065</v>
      </c>
      <c r="H779" s="307">
        <f t="shared" ca="1" si="360"/>
        <v>-123.09337506723443</v>
      </c>
      <c r="I779" s="304">
        <f t="shared" ca="1" si="361"/>
        <v>123.73326288418816</v>
      </c>
      <c r="J779" s="306">
        <f t="shared" ca="1" si="362"/>
        <v>780.60585379989482</v>
      </c>
      <c r="K779" s="307">
        <f t="shared" ca="1" si="363"/>
        <v>-6.382810179639006</v>
      </c>
      <c r="L779" s="304">
        <f t="shared" ca="1" si="348"/>
        <v>780.63194864958734</v>
      </c>
      <c r="M779" s="306">
        <f t="shared" ca="1" si="364"/>
        <v>-1.4690518069174214</v>
      </c>
      <c r="N779" s="304">
        <f t="shared" ca="1" si="365"/>
        <v>-84.170468422435761</v>
      </c>
      <c r="P779" s="310">
        <f t="shared" ca="1" si="366"/>
        <v>23</v>
      </c>
      <c r="Q779" s="304">
        <f t="shared" ca="1" si="367"/>
        <v>0</v>
      </c>
      <c r="R779" s="306">
        <f t="shared" ca="1" si="368"/>
        <v>0</v>
      </c>
      <c r="S779" s="307">
        <f t="shared" ca="1" si="369"/>
        <v>8.0499999999999989</v>
      </c>
      <c r="T779" s="304">
        <f t="shared" ca="1" si="349"/>
        <v>78.970499999999987</v>
      </c>
      <c r="U779" s="311">
        <f t="shared" ca="1" si="350"/>
        <v>0</v>
      </c>
      <c r="V779" s="306">
        <f t="shared" ca="1" si="351"/>
        <v>1.2257821438607956</v>
      </c>
      <c r="W779" s="304">
        <f t="shared" ca="1" si="352"/>
        <v>58.3134193858995</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2.5154020236590693</v>
      </c>
      <c r="AH779" s="304">
        <f t="shared" ca="1" si="376"/>
        <v>-7.2438646600201633</v>
      </c>
    </row>
    <row r="780" spans="1:34" x14ac:dyDescent="0.3">
      <c r="A780" s="347">
        <f t="shared" ca="1" si="354"/>
        <v>1E-4</v>
      </c>
      <c r="B780" s="304">
        <f t="shared" ca="1" si="355"/>
        <v>33.925700000001065</v>
      </c>
      <c r="D780" s="306">
        <f t="shared" ca="1" si="356"/>
        <v>-0.73575648224411483</v>
      </c>
      <c r="E780" s="307">
        <f t="shared" ca="1" si="357"/>
        <v>-2.6035588882722713</v>
      </c>
      <c r="F780" s="304">
        <f t="shared" ca="1" si="358"/>
        <v>2.7055233293885639</v>
      </c>
      <c r="G780" s="306">
        <f t="shared" ca="1" si="359"/>
        <v>12.56739866521084</v>
      </c>
      <c r="H780" s="307">
        <f t="shared" ca="1" si="360"/>
        <v>-123.09363542312326</v>
      </c>
      <c r="I780" s="304">
        <f t="shared" ca="1" si="361"/>
        <v>123.73351442067396</v>
      </c>
      <c r="J780" s="306">
        <f t="shared" ca="1" si="362"/>
        <v>780.60585379989482</v>
      </c>
      <c r="K780" s="307">
        <f t="shared" ca="1" si="363"/>
        <v>-6.395119530163524</v>
      </c>
      <c r="L780" s="304">
        <f t="shared" ca="1" si="348"/>
        <v>780.63204939361015</v>
      </c>
      <c r="M780" s="306">
        <f t="shared" ca="1" si="364"/>
        <v>-1.4690526121904033</v>
      </c>
      <c r="N780" s="304">
        <f t="shared" ca="1" si="365"/>
        <v>-84.170514561178976</v>
      </c>
      <c r="P780" s="310">
        <f t="shared" ca="1" si="366"/>
        <v>23</v>
      </c>
      <c r="Q780" s="304">
        <f t="shared" ca="1" si="367"/>
        <v>0</v>
      </c>
      <c r="R780" s="306">
        <f t="shared" ca="1" si="368"/>
        <v>0</v>
      </c>
      <c r="S780" s="307">
        <f t="shared" ca="1" si="369"/>
        <v>8.0499999999999989</v>
      </c>
      <c r="T780" s="304">
        <f t="shared" ca="1" si="349"/>
        <v>78.970499999999987</v>
      </c>
      <c r="U780" s="311">
        <f t="shared" ca="1" si="350"/>
        <v>0</v>
      </c>
      <c r="V780" s="306">
        <f t="shared" ca="1" si="351"/>
        <v>1.2257836527200858</v>
      </c>
      <c r="W780" s="304">
        <f t="shared" ca="1" si="352"/>
        <v>58.313728256401632</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2.515364456754078</v>
      </c>
      <c r="AH780" s="304">
        <f t="shared" ca="1" si="376"/>
        <v>-7.2439030293042865</v>
      </c>
    </row>
    <row r="781" spans="1:34" x14ac:dyDescent="0.3">
      <c r="A781" s="347">
        <f t="shared" ca="1" si="354"/>
        <v>1E-4</v>
      </c>
      <c r="B781" s="304">
        <f t="shared" ca="1" si="355"/>
        <v>33.925800000001068</v>
      </c>
      <c r="D781" s="306">
        <f t="shared" ca="1" si="356"/>
        <v>-0.73575457616505902</v>
      </c>
      <c r="E781" s="307">
        <f t="shared" ca="1" si="357"/>
        <v>-2.6035201252058808</v>
      </c>
      <c r="F781" s="304">
        <f t="shared" ca="1" si="358"/>
        <v>2.7054855088689482</v>
      </c>
      <c r="G781" s="306">
        <f t="shared" ca="1" si="359"/>
        <v>12.567325089753224</v>
      </c>
      <c r="H781" s="307">
        <f t="shared" ca="1" si="360"/>
        <v>-123.09389577513578</v>
      </c>
      <c r="I781" s="304">
        <f t="shared" ca="1" si="361"/>
        <v>123.73376595340308</v>
      </c>
      <c r="J781" s="306">
        <f t="shared" ca="1" si="362"/>
        <v>780.60585379989482</v>
      </c>
      <c r="K781" s="307">
        <f t="shared" ca="1" si="363"/>
        <v>-6.4074289067234371</v>
      </c>
      <c r="L781" s="304">
        <f t="shared" ca="1" si="348"/>
        <v>780.63215033193285</v>
      </c>
      <c r="M781" s="306">
        <f t="shared" ca="1" si="364"/>
        <v>-1.4690534174553964</v>
      </c>
      <c r="N781" s="304">
        <f t="shared" ca="1" si="365"/>
        <v>-84.170560699464474</v>
      </c>
      <c r="P781" s="310">
        <f t="shared" ca="1" si="366"/>
        <v>23</v>
      </c>
      <c r="Q781" s="304">
        <f t="shared" ca="1" si="367"/>
        <v>0</v>
      </c>
      <c r="R781" s="306">
        <f t="shared" ca="1" si="368"/>
        <v>0</v>
      </c>
      <c r="S781" s="307">
        <f t="shared" ca="1" si="369"/>
        <v>8.0499999999999989</v>
      </c>
      <c r="T781" s="304">
        <f t="shared" ca="1" si="349"/>
        <v>78.970499999999987</v>
      </c>
      <c r="U781" s="311">
        <f t="shared" ca="1" si="350"/>
        <v>0</v>
      </c>
      <c r="V781" s="306">
        <f t="shared" ca="1" si="351"/>
        <v>1.2257851615844255</v>
      </c>
      <c r="W781" s="304">
        <f t="shared" ca="1" si="352"/>
        <v>58.314037124668729</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2.5153268901124486</v>
      </c>
      <c r="AH781" s="304">
        <f t="shared" ca="1" si="376"/>
        <v>-7.2439413983107626</v>
      </c>
    </row>
    <row r="782" spans="1:34" x14ac:dyDescent="0.3">
      <c r="A782" s="347">
        <f t="shared" ca="1" si="354"/>
        <v>1E-4</v>
      </c>
      <c r="B782" s="304">
        <f t="shared" ca="1" si="355"/>
        <v>33.925900000001072</v>
      </c>
      <c r="D782" s="306">
        <f t="shared" ca="1" si="356"/>
        <v>-0.73575267005342193</v>
      </c>
      <c r="E782" s="307">
        <f t="shared" ca="1" si="357"/>
        <v>-2.6034813624199744</v>
      </c>
      <c r="F782" s="304">
        <f t="shared" ca="1" si="358"/>
        <v>2.7054476886384085</v>
      </c>
      <c r="G782" s="306">
        <f t="shared" ca="1" si="359"/>
        <v>12.567251514486218</v>
      </c>
      <c r="H782" s="307">
        <f t="shared" ca="1" si="360"/>
        <v>-123.09415612327201</v>
      </c>
      <c r="I782" s="304">
        <f t="shared" ca="1" si="361"/>
        <v>123.73401748237556</v>
      </c>
      <c r="J782" s="306">
        <f t="shared" ca="1" si="362"/>
        <v>780.60585379989482</v>
      </c>
      <c r="K782" s="307">
        <f t="shared" ca="1" si="363"/>
        <v>-6.4197383093183573</v>
      </c>
      <c r="L782" s="304">
        <f t="shared" ca="1" si="348"/>
        <v>780.6322514645567</v>
      </c>
      <c r="M782" s="306">
        <f t="shared" ca="1" si="364"/>
        <v>-1.4690542227124015</v>
      </c>
      <c r="N782" s="304">
        <f t="shared" ca="1" si="365"/>
        <v>-84.170606837292283</v>
      </c>
      <c r="P782" s="310">
        <f t="shared" ca="1" si="366"/>
        <v>23</v>
      </c>
      <c r="Q782" s="304">
        <f t="shared" ca="1" si="367"/>
        <v>0</v>
      </c>
      <c r="R782" s="306">
        <f t="shared" ca="1" si="368"/>
        <v>0</v>
      </c>
      <c r="S782" s="307">
        <f t="shared" ca="1" si="369"/>
        <v>8.0499999999999989</v>
      </c>
      <c r="T782" s="304">
        <f t="shared" ca="1" si="349"/>
        <v>78.970499999999987</v>
      </c>
      <c r="U782" s="311">
        <f t="shared" ca="1" si="350"/>
        <v>0</v>
      </c>
      <c r="V782" s="306">
        <f t="shared" ca="1" si="351"/>
        <v>1.2257866704538143</v>
      </c>
      <c r="W782" s="304">
        <f t="shared" ca="1" si="352"/>
        <v>58.314345990700744</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2.5152893237341702</v>
      </c>
      <c r="AH782" s="304">
        <f t="shared" ca="1" si="376"/>
        <v>-7.2439797670395949</v>
      </c>
    </row>
    <row r="783" spans="1:34" x14ac:dyDescent="0.3">
      <c r="A783" s="347">
        <f t="shared" ca="1" si="354"/>
        <v>1E-4</v>
      </c>
      <c r="B783" s="304">
        <f t="shared" ca="1" si="355"/>
        <v>33.926000000001075</v>
      </c>
      <c r="D783" s="306">
        <f t="shared" ca="1" si="356"/>
        <v>-0.73575076390919958</v>
      </c>
      <c r="E783" s="307">
        <f t="shared" ca="1" si="357"/>
        <v>-2.6034425999145547</v>
      </c>
      <c r="F783" s="304">
        <f t="shared" ca="1" si="358"/>
        <v>2.7054098686969459</v>
      </c>
      <c r="G783" s="306">
        <f t="shared" ca="1" si="359"/>
        <v>12.567177939409827</v>
      </c>
      <c r="H783" s="307">
        <f t="shared" ca="1" si="360"/>
        <v>-123.094416467532</v>
      </c>
      <c r="I783" s="304">
        <f t="shared" ca="1" si="361"/>
        <v>123.73426900759144</v>
      </c>
      <c r="J783" s="306">
        <f t="shared" ca="1" si="362"/>
        <v>780.60585379989482</v>
      </c>
      <c r="K783" s="307">
        <f t="shared" ca="1" si="363"/>
        <v>-6.4320477379478973</v>
      </c>
      <c r="L783" s="304">
        <f t="shared" ca="1" si="348"/>
        <v>780.63235279148273</v>
      </c>
      <c r="M783" s="306">
        <f t="shared" ca="1" si="364"/>
        <v>-1.4690550279614183</v>
      </c>
      <c r="N783" s="304">
        <f t="shared" ca="1" si="365"/>
        <v>-84.170652974662403</v>
      </c>
      <c r="P783" s="310">
        <f t="shared" ca="1" si="366"/>
        <v>23</v>
      </c>
      <c r="Q783" s="304">
        <f t="shared" ca="1" si="367"/>
        <v>0</v>
      </c>
      <c r="R783" s="306">
        <f t="shared" ca="1" si="368"/>
        <v>0</v>
      </c>
      <c r="S783" s="307">
        <f t="shared" ca="1" si="369"/>
        <v>8.0499999999999989</v>
      </c>
      <c r="T783" s="304">
        <f t="shared" ca="1" si="349"/>
        <v>78.970499999999987</v>
      </c>
      <c r="U783" s="311">
        <f t="shared" ca="1" si="350"/>
        <v>0</v>
      </c>
      <c r="V783" s="306">
        <f t="shared" ca="1" si="351"/>
        <v>1.2257881793282519</v>
      </c>
      <c r="W783" s="304">
        <f t="shared" ca="1" si="352"/>
        <v>58.314654854497682</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2.5152517576192572</v>
      </c>
      <c r="AH783" s="304">
        <f t="shared" ca="1" si="376"/>
        <v>-7.2440181354907764</v>
      </c>
    </row>
    <row r="784" spans="1:34" x14ac:dyDescent="0.3">
      <c r="A784" s="347">
        <f t="shared" ca="1" si="354"/>
        <v>1E-4</v>
      </c>
      <c r="B784" s="304">
        <f t="shared" ca="1" si="355"/>
        <v>33.926100000001078</v>
      </c>
      <c r="D784" s="306">
        <f t="shared" ca="1" si="356"/>
        <v>-0.7357488577323954</v>
      </c>
      <c r="E784" s="307">
        <f t="shared" ca="1" si="357"/>
        <v>-2.6034038376896236</v>
      </c>
      <c r="F784" s="304">
        <f t="shared" ca="1" si="358"/>
        <v>2.7053720490445641</v>
      </c>
      <c r="G784" s="306">
        <f t="shared" ca="1" si="359"/>
        <v>12.567104364524054</v>
      </c>
      <c r="H784" s="307">
        <f t="shared" ca="1" si="360"/>
        <v>-123.09467680791577</v>
      </c>
      <c r="I784" s="304">
        <f t="shared" ca="1" si="361"/>
        <v>123.73452052905073</v>
      </c>
      <c r="J784" s="306">
        <f t="shared" ca="1" si="362"/>
        <v>780.60585379989482</v>
      </c>
      <c r="K784" s="307">
        <f t="shared" ca="1" si="363"/>
        <v>-6.4443571926116698</v>
      </c>
      <c r="L784" s="304">
        <f t="shared" ca="1" si="348"/>
        <v>780.63245431271218</v>
      </c>
      <c r="M784" s="306">
        <f t="shared" ca="1" si="364"/>
        <v>-1.4690558332024468</v>
      </c>
      <c r="N784" s="304">
        <f t="shared" ca="1" si="365"/>
        <v>-84.170699111574834</v>
      </c>
      <c r="P784" s="310">
        <f t="shared" ca="1" si="366"/>
        <v>23</v>
      </c>
      <c r="Q784" s="304">
        <f t="shared" ca="1" si="367"/>
        <v>0</v>
      </c>
      <c r="R784" s="306">
        <f t="shared" ca="1" si="368"/>
        <v>0</v>
      </c>
      <c r="S784" s="307">
        <f t="shared" ca="1" si="369"/>
        <v>8.0499999999999989</v>
      </c>
      <c r="T784" s="304">
        <f t="shared" ca="1" si="349"/>
        <v>78.970499999999987</v>
      </c>
      <c r="U784" s="311">
        <f t="shared" ca="1" si="350"/>
        <v>0</v>
      </c>
      <c r="V784" s="306">
        <f t="shared" ca="1" si="351"/>
        <v>1.2257896882077393</v>
      </c>
      <c r="W784" s="304">
        <f t="shared" ca="1" si="352"/>
        <v>58.314963716059566</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2.515214191767706</v>
      </c>
      <c r="AH784" s="304">
        <f t="shared" ca="1" si="376"/>
        <v>-7.244056503664309</v>
      </c>
    </row>
    <row r="785" spans="1:34" x14ac:dyDescent="0.3">
      <c r="A785" s="347">
        <f t="shared" ca="1" si="354"/>
        <v>1E-4</v>
      </c>
      <c r="B785" s="304">
        <f t="shared" ca="1" si="355"/>
        <v>33.926200000001081</v>
      </c>
      <c r="D785" s="306">
        <f t="shared" ca="1" si="356"/>
        <v>-0.73574695152301128</v>
      </c>
      <c r="E785" s="307">
        <f t="shared" ca="1" si="357"/>
        <v>-2.6033650757451783</v>
      </c>
      <c r="F785" s="304">
        <f t="shared" ca="1" si="358"/>
        <v>2.7053342296812612</v>
      </c>
      <c r="G785" s="306">
        <f t="shared" ca="1" si="359"/>
        <v>12.567030789828902</v>
      </c>
      <c r="H785" s="307">
        <f t="shared" ca="1" si="360"/>
        <v>-123.09493714442335</v>
      </c>
      <c r="I785" s="304">
        <f t="shared" ca="1" si="361"/>
        <v>123.73477204675346</v>
      </c>
      <c r="J785" s="306">
        <f t="shared" ca="1" si="362"/>
        <v>780.60585379989482</v>
      </c>
      <c r="K785" s="307">
        <f t="shared" ca="1" si="363"/>
        <v>-6.4566666733092868</v>
      </c>
      <c r="L785" s="304">
        <f t="shared" ca="1" si="348"/>
        <v>780.6325560282462</v>
      </c>
      <c r="M785" s="306">
        <f t="shared" ca="1" si="364"/>
        <v>-1.4690566384354877</v>
      </c>
      <c r="N785" s="304">
        <f t="shared" ca="1" si="365"/>
        <v>-84.170745248029604</v>
      </c>
      <c r="P785" s="310">
        <f t="shared" ca="1" si="366"/>
        <v>23</v>
      </c>
      <c r="Q785" s="304">
        <f t="shared" ca="1" si="367"/>
        <v>0</v>
      </c>
      <c r="R785" s="306">
        <f t="shared" ca="1" si="368"/>
        <v>0</v>
      </c>
      <c r="S785" s="307">
        <f t="shared" ca="1" si="369"/>
        <v>8.0499999999999989</v>
      </c>
      <c r="T785" s="304">
        <f t="shared" ca="1" si="349"/>
        <v>78.970499999999987</v>
      </c>
      <c r="U785" s="311">
        <f t="shared" ca="1" si="350"/>
        <v>0</v>
      </c>
      <c r="V785" s="306">
        <f t="shared" ca="1" si="351"/>
        <v>1.2257911970922752</v>
      </c>
      <c r="W785" s="304">
        <f t="shared" ca="1" si="352"/>
        <v>58.315272575386345</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2.5151766261795139</v>
      </c>
      <c r="AH785" s="304">
        <f t="shared" ca="1" si="376"/>
        <v>-7.2440948715601952</v>
      </c>
    </row>
    <row r="786" spans="1:34" x14ac:dyDescent="0.3">
      <c r="A786" s="347">
        <f t="shared" ca="1" si="354"/>
        <v>1E-4</v>
      </c>
      <c r="B786" s="304">
        <f t="shared" ca="1" si="355"/>
        <v>33.926300000001085</v>
      </c>
      <c r="D786" s="306">
        <f t="shared" ca="1" si="356"/>
        <v>-0.73574504528104334</v>
      </c>
      <c r="E786" s="307">
        <f t="shared" ca="1" si="357"/>
        <v>-2.6033263140812224</v>
      </c>
      <c r="F786" s="304">
        <f t="shared" ca="1" si="358"/>
        <v>2.7052964106070387</v>
      </c>
      <c r="G786" s="306">
        <f t="shared" ca="1" si="359"/>
        <v>12.566957215324374</v>
      </c>
      <c r="H786" s="307">
        <f t="shared" ca="1" si="360"/>
        <v>-123.09519747705477</v>
      </c>
      <c r="I786" s="304">
        <f t="shared" ca="1" si="361"/>
        <v>123.73502356069967</v>
      </c>
      <c r="J786" s="306">
        <f t="shared" ca="1" si="362"/>
        <v>780.60585379989482</v>
      </c>
      <c r="K786" s="307">
        <f t="shared" ca="1" si="363"/>
        <v>-6.4689761800403609</v>
      </c>
      <c r="L786" s="304">
        <f t="shared" ca="1" si="348"/>
        <v>780.63265793808591</v>
      </c>
      <c r="M786" s="306">
        <f t="shared" ca="1" si="364"/>
        <v>-1.4690574436605406</v>
      </c>
      <c r="N786" s="304">
        <f t="shared" ca="1" si="365"/>
        <v>-84.170791384026685</v>
      </c>
      <c r="P786" s="310">
        <f t="shared" ca="1" si="366"/>
        <v>23</v>
      </c>
      <c r="Q786" s="304">
        <f t="shared" ca="1" si="367"/>
        <v>0</v>
      </c>
      <c r="R786" s="306">
        <f t="shared" ca="1" si="368"/>
        <v>0</v>
      </c>
      <c r="S786" s="307">
        <f t="shared" ca="1" si="369"/>
        <v>8.0499999999999989</v>
      </c>
      <c r="T786" s="304">
        <f t="shared" ca="1" si="349"/>
        <v>78.970499999999987</v>
      </c>
      <c r="U786" s="311">
        <f t="shared" ca="1" si="350"/>
        <v>0</v>
      </c>
      <c r="V786" s="306">
        <f t="shared" ca="1" si="351"/>
        <v>1.2257927059818605</v>
      </c>
      <c r="W786" s="304">
        <f t="shared" ca="1" si="352"/>
        <v>58.315581432478055</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2.5151390608546871</v>
      </c>
      <c r="AH786" s="304">
        <f t="shared" ca="1" si="376"/>
        <v>-7.2441332391784288</v>
      </c>
    </row>
    <row r="787" spans="1:34" x14ac:dyDescent="0.3">
      <c r="A787" s="347">
        <f t="shared" ca="1" si="354"/>
        <v>1E-4</v>
      </c>
      <c r="B787" s="304">
        <f t="shared" ca="1" si="355"/>
        <v>33.926400000001088</v>
      </c>
      <c r="D787" s="306">
        <f t="shared" ca="1" si="356"/>
        <v>-0.73574313900649679</v>
      </c>
      <c r="E787" s="307">
        <f t="shared" ca="1" si="357"/>
        <v>-2.6032875526977541</v>
      </c>
      <c r="F787" s="304">
        <f t="shared" ca="1" si="358"/>
        <v>2.7052585918218974</v>
      </c>
      <c r="G787" s="306">
        <f t="shared" ca="1" si="359"/>
        <v>12.566883641010474</v>
      </c>
      <c r="H787" s="307">
        <f t="shared" ca="1" si="360"/>
        <v>-123.09545780581004</v>
      </c>
      <c r="I787" s="304">
        <f t="shared" ca="1" si="361"/>
        <v>123.73527507088937</v>
      </c>
      <c r="J787" s="306">
        <f t="shared" ca="1" si="362"/>
        <v>780.60585379989482</v>
      </c>
      <c r="K787" s="307">
        <f t="shared" ca="1" si="363"/>
        <v>-6.4812857128045041</v>
      </c>
      <c r="L787" s="304">
        <f t="shared" ca="1" si="348"/>
        <v>780.63276004223246</v>
      </c>
      <c r="M787" s="306">
        <f t="shared" ca="1" si="364"/>
        <v>-1.4690582488776056</v>
      </c>
      <c r="N787" s="304">
        <f t="shared" ca="1" si="365"/>
        <v>-84.170837519566106</v>
      </c>
      <c r="P787" s="310">
        <f t="shared" ca="1" si="366"/>
        <v>23</v>
      </c>
      <c r="Q787" s="304">
        <f t="shared" ca="1" si="367"/>
        <v>0</v>
      </c>
      <c r="R787" s="306">
        <f t="shared" ca="1" si="368"/>
        <v>0</v>
      </c>
      <c r="S787" s="307">
        <f t="shared" ca="1" si="369"/>
        <v>8.0499999999999989</v>
      </c>
      <c r="T787" s="304">
        <f t="shared" ca="1" si="349"/>
        <v>78.970499999999987</v>
      </c>
      <c r="U787" s="311">
        <f t="shared" ca="1" si="350"/>
        <v>0</v>
      </c>
      <c r="V787" s="306">
        <f t="shared" ca="1" si="351"/>
        <v>1.2257942148764953</v>
      </c>
      <c r="W787" s="304">
        <f t="shared" ca="1" si="352"/>
        <v>58.315890287334682</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2.5151014957932212</v>
      </c>
      <c r="AH787" s="304">
        <f t="shared" ca="1" si="376"/>
        <v>-7.2441716065190143</v>
      </c>
    </row>
    <row r="788" spans="1:34" x14ac:dyDescent="0.3">
      <c r="A788" s="347">
        <f t="shared" ca="1" si="354"/>
        <v>1E-4</v>
      </c>
      <c r="B788" s="304">
        <f t="shared" ca="1" si="355"/>
        <v>33.926500000001091</v>
      </c>
      <c r="D788" s="306">
        <f t="shared" ca="1" si="356"/>
        <v>-0.73574123269937142</v>
      </c>
      <c r="E788" s="307">
        <f t="shared" ca="1" si="357"/>
        <v>-2.6032487915947744</v>
      </c>
      <c r="F788" s="304">
        <f t="shared" ca="1" si="358"/>
        <v>2.7052207733258378</v>
      </c>
      <c r="G788" s="306">
        <f t="shared" ca="1" si="359"/>
        <v>12.566810066887204</v>
      </c>
      <c r="H788" s="307">
        <f t="shared" ca="1" si="360"/>
        <v>-123.09571813068921</v>
      </c>
      <c r="I788" s="304">
        <f t="shared" ca="1" si="361"/>
        <v>123.73552657732259</v>
      </c>
      <c r="J788" s="306">
        <f t="shared" ca="1" si="362"/>
        <v>780.60585379989482</v>
      </c>
      <c r="K788" s="307">
        <f t="shared" ca="1" si="363"/>
        <v>-6.493595271601329</v>
      </c>
      <c r="L788" s="304">
        <f t="shared" ca="1" si="348"/>
        <v>780.63286234068698</v>
      </c>
      <c r="M788" s="306">
        <f t="shared" ca="1" si="364"/>
        <v>-1.4690590540866832</v>
      </c>
      <c r="N788" s="304">
        <f t="shared" ca="1" si="365"/>
        <v>-84.170883654647881</v>
      </c>
      <c r="P788" s="310">
        <f t="shared" ca="1" si="366"/>
        <v>23</v>
      </c>
      <c r="Q788" s="304">
        <f t="shared" ca="1" si="367"/>
        <v>0</v>
      </c>
      <c r="R788" s="306">
        <f t="shared" ca="1" si="368"/>
        <v>0</v>
      </c>
      <c r="S788" s="307">
        <f t="shared" ca="1" si="369"/>
        <v>8.0499999999999989</v>
      </c>
      <c r="T788" s="304">
        <f t="shared" ca="1" si="349"/>
        <v>78.970499999999987</v>
      </c>
      <c r="U788" s="311">
        <f t="shared" ca="1" si="350"/>
        <v>0</v>
      </c>
      <c r="V788" s="306">
        <f t="shared" ca="1" si="351"/>
        <v>1.2257957237761787</v>
      </c>
      <c r="W788" s="304">
        <f t="shared" ca="1" si="352"/>
        <v>58.316199139956197</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2.5150639309951224</v>
      </c>
      <c r="AH788" s="304">
        <f t="shared" ca="1" si="376"/>
        <v>-7.244209973581949</v>
      </c>
    </row>
    <row r="789" spans="1:34" x14ac:dyDescent="0.3">
      <c r="A789" s="347">
        <f t="shared" ca="1" si="354"/>
        <v>1E-4</v>
      </c>
      <c r="B789" s="304">
        <f t="shared" ca="1" si="355"/>
        <v>33.926600000001095</v>
      </c>
      <c r="D789" s="306">
        <f t="shared" ca="1" si="356"/>
        <v>-0.73573932635966521</v>
      </c>
      <c r="E789" s="307">
        <f t="shared" ca="1" si="357"/>
        <v>-2.6032100307722867</v>
      </c>
      <c r="F789" s="304">
        <f t="shared" ca="1" si="358"/>
        <v>2.7051829551188629</v>
      </c>
      <c r="G789" s="306">
        <f t="shared" ca="1" si="359"/>
        <v>12.566736492954568</v>
      </c>
      <c r="H789" s="307">
        <f t="shared" ca="1" si="360"/>
        <v>-123.09597845169229</v>
      </c>
      <c r="I789" s="304">
        <f t="shared" ca="1" si="361"/>
        <v>123.73577807999935</v>
      </c>
      <c r="J789" s="306">
        <f t="shared" ca="1" si="362"/>
        <v>780.60585379989482</v>
      </c>
      <c r="K789" s="307">
        <f t="shared" ca="1" si="363"/>
        <v>-6.5059048564304485</v>
      </c>
      <c r="L789" s="304">
        <f t="shared" ca="1" si="348"/>
        <v>780.63296483345084</v>
      </c>
      <c r="M789" s="306">
        <f t="shared" ca="1" si="364"/>
        <v>-1.4690598592877733</v>
      </c>
      <c r="N789" s="304">
        <f t="shared" ca="1" si="365"/>
        <v>-84.170929789271995</v>
      </c>
      <c r="P789" s="310">
        <f t="shared" ca="1" si="366"/>
        <v>23</v>
      </c>
      <c r="Q789" s="304">
        <f t="shared" ca="1" si="367"/>
        <v>0</v>
      </c>
      <c r="R789" s="306">
        <f t="shared" ca="1" si="368"/>
        <v>0</v>
      </c>
      <c r="S789" s="307">
        <f t="shared" ca="1" si="369"/>
        <v>8.0499999999999989</v>
      </c>
      <c r="T789" s="304">
        <f t="shared" ca="1" si="349"/>
        <v>78.970499999999987</v>
      </c>
      <c r="U789" s="311">
        <f t="shared" ca="1" si="350"/>
        <v>0</v>
      </c>
      <c r="V789" s="306">
        <f t="shared" ca="1" si="351"/>
        <v>1.2257972326809112</v>
      </c>
      <c r="W789" s="304">
        <f t="shared" ca="1" si="352"/>
        <v>58.316507990342586</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2.5150263664603898</v>
      </c>
      <c r="AH789" s="304">
        <f t="shared" ca="1" si="376"/>
        <v>-7.2442483403672302</v>
      </c>
    </row>
    <row r="790" spans="1:34" x14ac:dyDescent="0.3">
      <c r="A790" s="347">
        <f t="shared" ca="1" si="354"/>
        <v>1E-4</v>
      </c>
      <c r="B790" s="304">
        <f t="shared" ca="1" si="355"/>
        <v>33.926700000001098</v>
      </c>
      <c r="D790" s="306">
        <f t="shared" ca="1" si="356"/>
        <v>-0.7357374199873814</v>
      </c>
      <c r="E790" s="307">
        <f t="shared" ca="1" si="357"/>
        <v>-2.603171270230292</v>
      </c>
      <c r="F790" s="304">
        <f t="shared" ca="1" si="358"/>
        <v>2.7051451372009749</v>
      </c>
      <c r="G790" s="306">
        <f t="shared" ca="1" si="359"/>
        <v>12.56666291921257</v>
      </c>
      <c r="H790" s="307">
        <f t="shared" ca="1" si="360"/>
        <v>-123.09623876881932</v>
      </c>
      <c r="I790" s="304">
        <f t="shared" ca="1" si="361"/>
        <v>123.7360295789197</v>
      </c>
      <c r="J790" s="306">
        <f t="shared" ca="1" si="362"/>
        <v>780.60585379989482</v>
      </c>
      <c r="K790" s="307">
        <f t="shared" ca="1" si="363"/>
        <v>-6.5182144672914744</v>
      </c>
      <c r="L790" s="304">
        <f t="shared" ca="1" si="348"/>
        <v>780.63306752052483</v>
      </c>
      <c r="M790" s="306">
        <f t="shared" ca="1" si="364"/>
        <v>-1.4690606644808759</v>
      </c>
      <c r="N790" s="304">
        <f t="shared" ca="1" si="365"/>
        <v>-84.170975923438476</v>
      </c>
      <c r="P790" s="310">
        <f t="shared" ca="1" si="366"/>
        <v>23</v>
      </c>
      <c r="Q790" s="304">
        <f t="shared" ca="1" si="367"/>
        <v>0</v>
      </c>
      <c r="R790" s="306">
        <f t="shared" ca="1" si="368"/>
        <v>0</v>
      </c>
      <c r="S790" s="307">
        <f t="shared" ca="1" si="369"/>
        <v>8.0499999999999989</v>
      </c>
      <c r="T790" s="304">
        <f t="shared" ca="1" si="349"/>
        <v>78.970499999999987</v>
      </c>
      <c r="U790" s="311">
        <f t="shared" ca="1" si="350"/>
        <v>0</v>
      </c>
      <c r="V790" s="306">
        <f t="shared" ca="1" si="351"/>
        <v>1.2257987415906928</v>
      </c>
      <c r="W790" s="304">
        <f t="shared" ca="1" si="352"/>
        <v>58.316816838493892</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2.514988802189027</v>
      </c>
      <c r="AH790" s="304">
        <f t="shared" ca="1" si="376"/>
        <v>-7.2442867068748562</v>
      </c>
    </row>
    <row r="791" spans="1:34" x14ac:dyDescent="0.3">
      <c r="A791" s="347">
        <f t="shared" ca="1" si="354"/>
        <v>1E-4</v>
      </c>
      <c r="B791" s="304">
        <f t="shared" ca="1" si="355"/>
        <v>33.926800000001101</v>
      </c>
      <c r="D791" s="306">
        <f t="shared" ca="1" si="356"/>
        <v>-0.73573551358252043</v>
      </c>
      <c r="E791" s="307">
        <f t="shared" ca="1" si="357"/>
        <v>-2.6031325099687876</v>
      </c>
      <c r="F791" s="304">
        <f t="shared" ca="1" si="358"/>
        <v>2.7051073195721709</v>
      </c>
      <c r="G791" s="306">
        <f t="shared" ca="1" si="359"/>
        <v>12.566589345661212</v>
      </c>
      <c r="H791" s="307">
        <f t="shared" ca="1" si="360"/>
        <v>-123.09649908207031</v>
      </c>
      <c r="I791" s="304">
        <f t="shared" ca="1" si="361"/>
        <v>123.73628107408361</v>
      </c>
      <c r="J791" s="306">
        <f t="shared" ca="1" si="362"/>
        <v>780.60585379989482</v>
      </c>
      <c r="K791" s="307">
        <f t="shared" ca="1" si="363"/>
        <v>-6.5305241041840185</v>
      </c>
      <c r="L791" s="304">
        <f t="shared" ca="1" si="348"/>
        <v>780.63317040191032</v>
      </c>
      <c r="M791" s="306">
        <f t="shared" ca="1" si="364"/>
        <v>-1.4690614696659914</v>
      </c>
      <c r="N791" s="304">
        <f t="shared" ca="1" si="365"/>
        <v>-84.171022057147312</v>
      </c>
      <c r="P791" s="310">
        <f t="shared" ca="1" si="366"/>
        <v>23</v>
      </c>
      <c r="Q791" s="304">
        <f t="shared" ca="1" si="367"/>
        <v>0</v>
      </c>
      <c r="R791" s="306">
        <f t="shared" ca="1" si="368"/>
        <v>0</v>
      </c>
      <c r="S791" s="307">
        <f t="shared" ca="1" si="369"/>
        <v>8.0499999999999989</v>
      </c>
      <c r="T791" s="304">
        <f t="shared" ca="1" si="349"/>
        <v>78.970499999999987</v>
      </c>
      <c r="U791" s="311">
        <f t="shared" ca="1" si="350"/>
        <v>0</v>
      </c>
      <c r="V791" s="306">
        <f t="shared" ca="1" si="351"/>
        <v>1.2258002505055232</v>
      </c>
      <c r="W791" s="304">
        <f t="shared" ca="1" si="352"/>
        <v>58.317125684410016</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2.5149512381810268</v>
      </c>
      <c r="AH791" s="304">
        <f t="shared" ca="1" si="376"/>
        <v>-7.2443250731048323</v>
      </c>
    </row>
    <row r="792" spans="1:34" x14ac:dyDescent="0.3">
      <c r="A792" s="347">
        <f t="shared" ca="1" si="354"/>
        <v>1E-4</v>
      </c>
      <c r="B792" s="304">
        <f t="shared" ca="1" si="355"/>
        <v>33.926900000001105</v>
      </c>
      <c r="D792" s="306">
        <f t="shared" ca="1" si="356"/>
        <v>-0.73573360714508085</v>
      </c>
      <c r="E792" s="307">
        <f t="shared" ca="1" si="357"/>
        <v>-2.6030937499877824</v>
      </c>
      <c r="F792" s="304">
        <f t="shared" ca="1" si="358"/>
        <v>2.70506950223246</v>
      </c>
      <c r="G792" s="306">
        <f t="shared" ca="1" si="359"/>
        <v>12.566515772300498</v>
      </c>
      <c r="H792" s="307">
        <f t="shared" ca="1" si="360"/>
        <v>-123.0967593914453</v>
      </c>
      <c r="I792" s="304">
        <f t="shared" ca="1" si="361"/>
        <v>123.73653256549116</v>
      </c>
      <c r="J792" s="306">
        <f t="shared" ca="1" si="362"/>
        <v>780.60585379989482</v>
      </c>
      <c r="K792" s="307">
        <f t="shared" ca="1" si="363"/>
        <v>-6.5428337671076946</v>
      </c>
      <c r="L792" s="304">
        <f t="shared" ca="1" si="348"/>
        <v>780.63327347760855</v>
      </c>
      <c r="M792" s="306">
        <f t="shared" ca="1" si="364"/>
        <v>-1.4690622748431197</v>
      </c>
      <c r="N792" s="304">
        <f t="shared" ca="1" si="365"/>
        <v>-84.171068190398529</v>
      </c>
      <c r="P792" s="310">
        <f t="shared" ca="1" si="366"/>
        <v>23</v>
      </c>
      <c r="Q792" s="304">
        <f t="shared" ca="1" si="367"/>
        <v>0</v>
      </c>
      <c r="R792" s="306">
        <f t="shared" ca="1" si="368"/>
        <v>0</v>
      </c>
      <c r="S792" s="307">
        <f t="shared" ca="1" si="369"/>
        <v>8.0499999999999989</v>
      </c>
      <c r="T792" s="304">
        <f t="shared" ca="1" si="349"/>
        <v>78.970499999999987</v>
      </c>
      <c r="U792" s="311">
        <f t="shared" ca="1" si="350"/>
        <v>0</v>
      </c>
      <c r="V792" s="306">
        <f t="shared" ca="1" si="351"/>
        <v>1.2258017594254027</v>
      </c>
      <c r="W792" s="304">
        <f t="shared" ca="1" si="352"/>
        <v>58.317434528091049</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2.5149136744364071</v>
      </c>
      <c r="AH792" s="304">
        <f t="shared" ca="1" si="376"/>
        <v>-7.2443634390571461</v>
      </c>
    </row>
    <row r="793" spans="1:34" x14ac:dyDescent="0.3">
      <c r="A793" s="347">
        <f t="shared" ca="1" si="354"/>
        <v>1E-4</v>
      </c>
      <c r="B793" s="304">
        <f t="shared" ca="1" si="355"/>
        <v>33.927000000001108</v>
      </c>
      <c r="D793" s="306">
        <f t="shared" ca="1" si="356"/>
        <v>-0.73573170067506555</v>
      </c>
      <c r="E793" s="307">
        <f t="shared" ca="1" si="357"/>
        <v>-2.6030549902872684</v>
      </c>
      <c r="F793" s="304">
        <f t="shared" ca="1" si="358"/>
        <v>2.7050316851818343</v>
      </c>
      <c r="G793" s="306">
        <f t="shared" ca="1" si="359"/>
        <v>12.56644219913043</v>
      </c>
      <c r="H793" s="307">
        <f t="shared" ca="1" si="360"/>
        <v>-123.09701969694433</v>
      </c>
      <c r="I793" s="304">
        <f t="shared" ca="1" si="361"/>
        <v>123.73678405314236</v>
      </c>
      <c r="J793" s="306">
        <f t="shared" ca="1" si="362"/>
        <v>780.60585379989482</v>
      </c>
      <c r="K793" s="307">
        <f t="shared" ca="1" si="363"/>
        <v>-6.5551434560621145</v>
      </c>
      <c r="L793" s="304">
        <f t="shared" ca="1" si="348"/>
        <v>780.63337674762045</v>
      </c>
      <c r="M793" s="306">
        <f t="shared" ca="1" si="364"/>
        <v>-1.469063080012261</v>
      </c>
      <c r="N793" s="304">
        <f t="shared" ca="1" si="365"/>
        <v>-84.171114323192128</v>
      </c>
      <c r="P793" s="310">
        <f t="shared" ca="1" si="366"/>
        <v>23</v>
      </c>
      <c r="Q793" s="304">
        <f t="shared" ca="1" si="367"/>
        <v>0</v>
      </c>
      <c r="R793" s="306">
        <f t="shared" ca="1" si="368"/>
        <v>0</v>
      </c>
      <c r="S793" s="307">
        <f t="shared" ca="1" si="369"/>
        <v>8.0499999999999989</v>
      </c>
      <c r="T793" s="304">
        <f t="shared" ca="1" si="349"/>
        <v>78.970499999999987</v>
      </c>
      <c r="U793" s="311">
        <f t="shared" ca="1" si="350"/>
        <v>0</v>
      </c>
      <c r="V793" s="306">
        <f t="shared" ca="1" si="351"/>
        <v>1.225803268350331</v>
      </c>
      <c r="W793" s="304">
        <f t="shared" ca="1" si="352"/>
        <v>58.317743369536927</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2.5148761109551536</v>
      </c>
      <c r="AH793" s="304">
        <f t="shared" ca="1" si="376"/>
        <v>-7.2444018047318082</v>
      </c>
    </row>
    <row r="794" spans="1:34" x14ac:dyDescent="0.3">
      <c r="A794" s="347">
        <f t="shared" ca="1" si="354"/>
        <v>1E-4</v>
      </c>
      <c r="B794" s="304">
        <f t="shared" ca="1" si="355"/>
        <v>33.927100000001111</v>
      </c>
      <c r="D794" s="306">
        <f t="shared" ca="1" si="356"/>
        <v>-0.73572979417247375</v>
      </c>
      <c r="E794" s="307">
        <f t="shared" ca="1" si="357"/>
        <v>-2.6030162308672509</v>
      </c>
      <c r="F794" s="304">
        <f t="shared" ca="1" si="358"/>
        <v>2.7049938684203001</v>
      </c>
      <c r="G794" s="306">
        <f t="shared" ca="1" si="359"/>
        <v>12.566368626151013</v>
      </c>
      <c r="H794" s="307">
        <f t="shared" ca="1" si="360"/>
        <v>-123.09727999856742</v>
      </c>
      <c r="I794" s="304">
        <f t="shared" ca="1" si="361"/>
        <v>123.73703553703724</v>
      </c>
      <c r="J794" s="306">
        <f t="shared" ca="1" si="362"/>
        <v>780.60585379989482</v>
      </c>
      <c r="K794" s="307">
        <f t="shared" ca="1" si="363"/>
        <v>-6.56745317104689</v>
      </c>
      <c r="L794" s="304">
        <f t="shared" ca="1" si="348"/>
        <v>780.63348021194724</v>
      </c>
      <c r="M794" s="306">
        <f t="shared" ca="1" si="364"/>
        <v>-1.4690638851734155</v>
      </c>
      <c r="N794" s="304">
        <f t="shared" ca="1" si="365"/>
        <v>-84.171160455528096</v>
      </c>
      <c r="P794" s="310">
        <f t="shared" ca="1" si="366"/>
        <v>23</v>
      </c>
      <c r="Q794" s="304">
        <f t="shared" ca="1" si="367"/>
        <v>0</v>
      </c>
      <c r="R794" s="306">
        <f t="shared" ca="1" si="368"/>
        <v>0</v>
      </c>
      <c r="S794" s="307">
        <f t="shared" ca="1" si="369"/>
        <v>8.0499999999999989</v>
      </c>
      <c r="T794" s="304">
        <f t="shared" ca="1" si="349"/>
        <v>78.970499999999987</v>
      </c>
      <c r="U794" s="311">
        <f t="shared" ca="1" si="350"/>
        <v>0</v>
      </c>
      <c r="V794" s="306">
        <f t="shared" ca="1" si="351"/>
        <v>1.2258047772803085</v>
      </c>
      <c r="W794" s="304">
        <f t="shared" ca="1" si="352"/>
        <v>58.318052208747687</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2.5148385477372752</v>
      </c>
      <c r="AH794" s="304">
        <f t="shared" ca="1" si="376"/>
        <v>-7.2444401701288115</v>
      </c>
    </row>
    <row r="795" spans="1:34" x14ac:dyDescent="0.3">
      <c r="A795" s="347">
        <f t="shared" ca="1" si="354"/>
        <v>1E-4</v>
      </c>
      <c r="B795" s="304">
        <f t="shared" ca="1" si="355"/>
        <v>33.927200000001115</v>
      </c>
      <c r="D795" s="306">
        <f t="shared" ca="1" si="356"/>
        <v>-0.73572788763730745</v>
      </c>
      <c r="E795" s="307">
        <f t="shared" ca="1" si="357"/>
        <v>-2.6029774717277254</v>
      </c>
      <c r="F795" s="304">
        <f t="shared" ca="1" si="358"/>
        <v>2.7049560519478533</v>
      </c>
      <c r="G795" s="306">
        <f t="shared" ca="1" si="359"/>
        <v>12.566295053362248</v>
      </c>
      <c r="H795" s="307">
        <f t="shared" ca="1" si="360"/>
        <v>-123.09754029631459</v>
      </c>
      <c r="I795" s="304">
        <f t="shared" ca="1" si="361"/>
        <v>123.73728701717583</v>
      </c>
      <c r="J795" s="306">
        <f t="shared" ca="1" si="362"/>
        <v>780.60585379989482</v>
      </c>
      <c r="K795" s="307">
        <f t="shared" ca="1" si="363"/>
        <v>-6.5797629120616339</v>
      </c>
      <c r="L795" s="304">
        <f t="shared" ca="1" si="348"/>
        <v>780.63358387059009</v>
      </c>
      <c r="M795" s="306">
        <f t="shared" ca="1" si="364"/>
        <v>-1.4690646903265829</v>
      </c>
      <c r="N795" s="304">
        <f t="shared" ca="1" si="365"/>
        <v>-84.171206587406459</v>
      </c>
      <c r="P795" s="310">
        <f t="shared" ca="1" si="366"/>
        <v>23</v>
      </c>
      <c r="Q795" s="304">
        <f t="shared" ca="1" si="367"/>
        <v>0</v>
      </c>
      <c r="R795" s="306">
        <f t="shared" ca="1" si="368"/>
        <v>0</v>
      </c>
      <c r="S795" s="307">
        <f t="shared" ca="1" si="369"/>
        <v>8.0499999999999989</v>
      </c>
      <c r="T795" s="304">
        <f t="shared" ca="1" si="349"/>
        <v>78.970499999999987</v>
      </c>
      <c r="U795" s="311">
        <f t="shared" ca="1" si="350"/>
        <v>0</v>
      </c>
      <c r="V795" s="306">
        <f t="shared" ca="1" si="351"/>
        <v>1.2258062862153343</v>
      </c>
      <c r="W795" s="304">
        <f t="shared" ca="1" si="352"/>
        <v>58.318361045723286</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2.514800984782763</v>
      </c>
      <c r="AH795" s="304">
        <f t="shared" ca="1" si="376"/>
        <v>-7.2444785352481613</v>
      </c>
    </row>
    <row r="796" spans="1:34" x14ac:dyDescent="0.3">
      <c r="A796" s="347">
        <f t="shared" ca="1" si="354"/>
        <v>1E-4</v>
      </c>
      <c r="B796" s="304">
        <f t="shared" ca="1" si="355"/>
        <v>33.927300000001118</v>
      </c>
      <c r="D796" s="306">
        <f t="shared" ca="1" si="356"/>
        <v>-0.73572598106956766</v>
      </c>
      <c r="E796" s="307">
        <f t="shared" ca="1" si="357"/>
        <v>-2.6029387128687009</v>
      </c>
      <c r="F796" s="304">
        <f t="shared" ca="1" si="358"/>
        <v>2.7049182357645023</v>
      </c>
      <c r="G796" s="306">
        <f t="shared" ca="1" si="359"/>
        <v>12.566221480764142</v>
      </c>
      <c r="H796" s="307">
        <f t="shared" ca="1" si="360"/>
        <v>-123.09780059018588</v>
      </c>
      <c r="I796" s="304">
        <f t="shared" ca="1" si="361"/>
        <v>123.73753849355815</v>
      </c>
      <c r="J796" s="306">
        <f t="shared" ca="1" si="362"/>
        <v>780.60585379989482</v>
      </c>
      <c r="K796" s="307">
        <f t="shared" ca="1" si="363"/>
        <v>-6.592072679105959</v>
      </c>
      <c r="L796" s="304">
        <f t="shared" ca="1" si="348"/>
        <v>780.63368772355022</v>
      </c>
      <c r="M796" s="306">
        <f t="shared" ca="1" si="364"/>
        <v>-1.4690654954717639</v>
      </c>
      <c r="N796" s="304">
        <f t="shared" ca="1" si="365"/>
        <v>-84.171252718827219</v>
      </c>
      <c r="P796" s="310">
        <f t="shared" ca="1" si="366"/>
        <v>23</v>
      </c>
      <c r="Q796" s="304">
        <f t="shared" ca="1" si="367"/>
        <v>0</v>
      </c>
      <c r="R796" s="306">
        <f t="shared" ca="1" si="368"/>
        <v>0</v>
      </c>
      <c r="S796" s="307">
        <f t="shared" ca="1" si="369"/>
        <v>8.0499999999999989</v>
      </c>
      <c r="T796" s="304">
        <f t="shared" ca="1" si="349"/>
        <v>78.970499999999987</v>
      </c>
      <c r="U796" s="311">
        <f t="shared" ca="1" si="350"/>
        <v>0</v>
      </c>
      <c r="V796" s="306">
        <f t="shared" ca="1" si="351"/>
        <v>1.2258077951554092</v>
      </c>
      <c r="W796" s="304">
        <f t="shared" ca="1" si="352"/>
        <v>58.318669880463723</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2.5147634220916304</v>
      </c>
      <c r="AH796" s="304">
        <f t="shared" ca="1" si="376"/>
        <v>-7.2445169000898497</v>
      </c>
    </row>
    <row r="797" spans="1:34" x14ac:dyDescent="0.3">
      <c r="A797" s="347">
        <f t="shared" ca="1" si="354"/>
        <v>1E-4</v>
      </c>
      <c r="B797" s="304">
        <f t="shared" ca="1" si="355"/>
        <v>33.927400000001121</v>
      </c>
      <c r="D797" s="306">
        <f t="shared" ca="1" si="356"/>
        <v>-0.73572407446925292</v>
      </c>
      <c r="E797" s="307">
        <f t="shared" ca="1" si="357"/>
        <v>-2.6028999542901721</v>
      </c>
      <c r="F797" s="304">
        <f t="shared" ca="1" si="358"/>
        <v>2.7048804198702423</v>
      </c>
      <c r="G797" s="306">
        <f t="shared" ca="1" si="359"/>
        <v>12.566147908356696</v>
      </c>
      <c r="H797" s="307">
        <f t="shared" ca="1" si="360"/>
        <v>-123.09806088018131</v>
      </c>
      <c r="I797" s="304">
        <f t="shared" ca="1" si="361"/>
        <v>123.73778996618422</v>
      </c>
      <c r="J797" s="306">
        <f t="shared" ca="1" si="362"/>
        <v>780.60585379989482</v>
      </c>
      <c r="K797" s="307">
        <f t="shared" ca="1" si="363"/>
        <v>-6.604382472179477</v>
      </c>
      <c r="L797" s="304">
        <f t="shared" ca="1" si="348"/>
        <v>780.63379177082868</v>
      </c>
      <c r="M797" s="306">
        <f t="shared" ca="1" si="364"/>
        <v>-1.4690663006089584</v>
      </c>
      <c r="N797" s="304">
        <f t="shared" ca="1" si="365"/>
        <v>-84.171298849790389</v>
      </c>
      <c r="P797" s="310">
        <f t="shared" ca="1" si="366"/>
        <v>23</v>
      </c>
      <c r="Q797" s="304">
        <f t="shared" ca="1" si="367"/>
        <v>0</v>
      </c>
      <c r="R797" s="306">
        <f t="shared" ca="1" si="368"/>
        <v>0</v>
      </c>
      <c r="S797" s="307">
        <f t="shared" ca="1" si="369"/>
        <v>8.0499999999999989</v>
      </c>
      <c r="T797" s="304">
        <f t="shared" ca="1" si="349"/>
        <v>78.970499999999987</v>
      </c>
      <c r="U797" s="311">
        <f t="shared" ca="1" si="350"/>
        <v>0</v>
      </c>
      <c r="V797" s="306">
        <f t="shared" ca="1" si="351"/>
        <v>1.2258093041005327</v>
      </c>
      <c r="W797" s="304">
        <f t="shared" ca="1" si="352"/>
        <v>58.318978712969006</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2.5147258596638746</v>
      </c>
      <c r="AH797" s="304">
        <f t="shared" ca="1" si="376"/>
        <v>-7.2445552646538793</v>
      </c>
    </row>
    <row r="798" spans="1:34" x14ac:dyDescent="0.3">
      <c r="A798" s="347">
        <f t="shared" ca="1" si="354"/>
        <v>1E-4</v>
      </c>
      <c r="B798" s="304">
        <f t="shared" ca="1" si="355"/>
        <v>33.927500000001125</v>
      </c>
      <c r="D798" s="306">
        <f t="shared" ca="1" si="356"/>
        <v>-0.73572216783636479</v>
      </c>
      <c r="E798" s="307">
        <f t="shared" ca="1" si="357"/>
        <v>-2.6028611959921424</v>
      </c>
      <c r="F798" s="304">
        <f t="shared" ca="1" si="358"/>
        <v>2.7048426042650773</v>
      </c>
      <c r="G798" s="306">
        <f t="shared" ca="1" si="359"/>
        <v>12.566074336139913</v>
      </c>
      <c r="H798" s="307">
        <f t="shared" ca="1" si="360"/>
        <v>-123.09832116630091</v>
      </c>
      <c r="I798" s="304">
        <f t="shared" ca="1" si="361"/>
        <v>123.73804143505409</v>
      </c>
      <c r="J798" s="306">
        <f t="shared" ca="1" si="362"/>
        <v>780.60585379989482</v>
      </c>
      <c r="K798" s="307">
        <f t="shared" ca="1" si="363"/>
        <v>-6.6166922912818009</v>
      </c>
      <c r="L798" s="304">
        <f t="shared" ca="1" si="348"/>
        <v>780.6338960124267</v>
      </c>
      <c r="M798" s="306">
        <f t="shared" ca="1" si="364"/>
        <v>-1.4690671057381666</v>
      </c>
      <c r="N798" s="304">
        <f t="shared" ca="1" si="365"/>
        <v>-84.171344980295984</v>
      </c>
      <c r="P798" s="310">
        <f t="shared" ca="1" si="366"/>
        <v>23</v>
      </c>
      <c r="Q798" s="304">
        <f t="shared" ca="1" si="367"/>
        <v>0</v>
      </c>
      <c r="R798" s="306">
        <f t="shared" ca="1" si="368"/>
        <v>0</v>
      </c>
      <c r="S798" s="307">
        <f t="shared" ca="1" si="369"/>
        <v>8.0499999999999989</v>
      </c>
      <c r="T798" s="304">
        <f t="shared" ca="1" si="349"/>
        <v>78.970499999999987</v>
      </c>
      <c r="U798" s="311">
        <f t="shared" ca="1" si="350"/>
        <v>0</v>
      </c>
      <c r="V798" s="306">
        <f t="shared" ca="1" si="351"/>
        <v>1.2258108130507051</v>
      </c>
      <c r="W798" s="304">
        <f t="shared" ca="1" si="352"/>
        <v>58.319287543239128</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2.5146882974994922</v>
      </c>
      <c r="AH798" s="304">
        <f t="shared" ca="1" si="376"/>
        <v>-7.2445936289402502</v>
      </c>
    </row>
    <row r="799" spans="1:34" x14ac:dyDescent="0.3">
      <c r="A799" s="347">
        <f t="shared" ca="1" si="354"/>
        <v>1E-4</v>
      </c>
      <c r="B799" s="304">
        <f t="shared" ca="1" si="355"/>
        <v>33.927600000001128</v>
      </c>
      <c r="D799" s="306">
        <f t="shared" ca="1" si="356"/>
        <v>-0.73572026117090328</v>
      </c>
      <c r="E799" s="307">
        <f t="shared" ca="1" si="357"/>
        <v>-2.6028224379746101</v>
      </c>
      <c r="F799" s="304">
        <f t="shared" ca="1" si="358"/>
        <v>2.7048047889490059</v>
      </c>
      <c r="G799" s="306">
        <f t="shared" ca="1" si="359"/>
        <v>12.566000764113795</v>
      </c>
      <c r="H799" s="307">
        <f t="shared" ca="1" si="360"/>
        <v>-123.09858144854471</v>
      </c>
      <c r="I799" s="304">
        <f t="shared" ca="1" si="361"/>
        <v>123.73829290016775</v>
      </c>
      <c r="J799" s="306">
        <f t="shared" ca="1" si="362"/>
        <v>780.60585379989482</v>
      </c>
      <c r="K799" s="307">
        <f t="shared" ca="1" si="363"/>
        <v>-6.6290021364125433</v>
      </c>
      <c r="L799" s="304">
        <f t="shared" ca="1" si="348"/>
        <v>780.63400044834532</v>
      </c>
      <c r="M799" s="306">
        <f t="shared" ca="1" si="364"/>
        <v>-1.4690679108593883</v>
      </c>
      <c r="N799" s="304">
        <f t="shared" ca="1" si="365"/>
        <v>-84.17139111034399</v>
      </c>
      <c r="P799" s="310">
        <f t="shared" ca="1" si="366"/>
        <v>23</v>
      </c>
      <c r="Q799" s="304">
        <f t="shared" ca="1" si="367"/>
        <v>0</v>
      </c>
      <c r="R799" s="306">
        <f t="shared" ca="1" si="368"/>
        <v>0</v>
      </c>
      <c r="S799" s="307">
        <f t="shared" ca="1" si="369"/>
        <v>8.0499999999999989</v>
      </c>
      <c r="T799" s="304">
        <f t="shared" ca="1" si="349"/>
        <v>78.970499999999987</v>
      </c>
      <c r="U799" s="311">
        <f t="shared" ca="1" si="350"/>
        <v>0</v>
      </c>
      <c r="V799" s="306">
        <f t="shared" ca="1" si="351"/>
        <v>1.225812322005926</v>
      </c>
      <c r="W799" s="304">
        <f t="shared" ca="1" si="352"/>
        <v>58.319596371274052</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2.5146507355984875</v>
      </c>
      <c r="AH799" s="304">
        <f t="shared" ca="1" si="376"/>
        <v>-7.2446319929489613</v>
      </c>
    </row>
    <row r="800" spans="1:34" x14ac:dyDescent="0.3">
      <c r="A800" s="347">
        <f t="shared" ca="1" si="354"/>
        <v>1E-4</v>
      </c>
      <c r="B800" s="304">
        <f t="shared" ca="1" si="355"/>
        <v>33.927700000001131</v>
      </c>
      <c r="D800" s="306">
        <f t="shared" ca="1" si="356"/>
        <v>-0.73571835447287082</v>
      </c>
      <c r="E800" s="307">
        <f t="shared" ca="1" si="357"/>
        <v>-2.6027836802375806</v>
      </c>
      <c r="F800" s="304">
        <f t="shared" ca="1" si="358"/>
        <v>2.704766973922033</v>
      </c>
      <c r="G800" s="306">
        <f t="shared" ca="1" si="359"/>
        <v>12.565927192278348</v>
      </c>
      <c r="H800" s="307">
        <f t="shared" ca="1" si="360"/>
        <v>-123.09884172691272</v>
      </c>
      <c r="I800" s="304">
        <f t="shared" ca="1" si="361"/>
        <v>123.73854436152524</v>
      </c>
      <c r="J800" s="306">
        <f t="shared" ca="1" si="362"/>
        <v>780.60585379989482</v>
      </c>
      <c r="K800" s="307">
        <f t="shared" ca="1" si="363"/>
        <v>-6.6413120075713161</v>
      </c>
      <c r="L800" s="304">
        <f t="shared" ca="1" si="348"/>
        <v>780.63410507858589</v>
      </c>
      <c r="M800" s="306">
        <f t="shared" ca="1" si="364"/>
        <v>-1.4690687159726239</v>
      </c>
      <c r="N800" s="304">
        <f t="shared" ca="1" si="365"/>
        <v>-84.17143723993442</v>
      </c>
      <c r="P800" s="310">
        <f t="shared" ca="1" si="366"/>
        <v>23</v>
      </c>
      <c r="Q800" s="304">
        <f t="shared" ca="1" si="367"/>
        <v>0</v>
      </c>
      <c r="R800" s="306">
        <f t="shared" ca="1" si="368"/>
        <v>0</v>
      </c>
      <c r="S800" s="307">
        <f t="shared" ca="1" si="369"/>
        <v>8.0499999999999989</v>
      </c>
      <c r="T800" s="304">
        <f t="shared" ca="1" si="349"/>
        <v>78.970499999999987</v>
      </c>
      <c r="U800" s="311">
        <f t="shared" ca="1" si="350"/>
        <v>0</v>
      </c>
      <c r="V800" s="306">
        <f t="shared" ca="1" si="351"/>
        <v>1.2258138309661959</v>
      </c>
      <c r="W800" s="304">
        <f t="shared" ca="1" si="352"/>
        <v>58.319905197073801</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2.5146131739608659</v>
      </c>
      <c r="AH800" s="304">
        <f t="shared" ca="1" si="376"/>
        <v>-7.2446703566800075</v>
      </c>
    </row>
    <row r="801" spans="1:34" x14ac:dyDescent="0.3">
      <c r="A801" s="347">
        <f t="shared" ca="1" si="354"/>
        <v>1E-4</v>
      </c>
      <c r="B801" s="304">
        <f t="shared" ca="1" si="355"/>
        <v>33.927800000001135</v>
      </c>
      <c r="D801" s="306">
        <f t="shared" ca="1" si="356"/>
        <v>-0.73571644774226652</v>
      </c>
      <c r="E801" s="307">
        <f t="shared" ca="1" si="357"/>
        <v>-2.602744922781052</v>
      </c>
      <c r="F801" s="304">
        <f t="shared" ca="1" si="358"/>
        <v>2.7047291591841582</v>
      </c>
      <c r="G801" s="306">
        <f t="shared" ca="1" si="359"/>
        <v>12.565853620633574</v>
      </c>
      <c r="H801" s="307">
        <f t="shared" ca="1" si="360"/>
        <v>-123.099102001405</v>
      </c>
      <c r="I801" s="304">
        <f t="shared" ca="1" si="361"/>
        <v>123.73879581912661</v>
      </c>
      <c r="J801" s="306">
        <f t="shared" ca="1" si="362"/>
        <v>780.60585379989482</v>
      </c>
      <c r="K801" s="307">
        <f t="shared" ca="1" si="363"/>
        <v>-6.6536219047577321</v>
      </c>
      <c r="L801" s="304">
        <f t="shared" ca="1" si="348"/>
        <v>780.63420990314933</v>
      </c>
      <c r="M801" s="306">
        <f t="shared" ca="1" si="364"/>
        <v>-1.4690695210778733</v>
      </c>
      <c r="N801" s="304">
        <f t="shared" ca="1" si="365"/>
        <v>-84.171483369067275</v>
      </c>
      <c r="P801" s="310">
        <f t="shared" ca="1" si="366"/>
        <v>23</v>
      </c>
      <c r="Q801" s="304">
        <f t="shared" ca="1" si="367"/>
        <v>0</v>
      </c>
      <c r="R801" s="306">
        <f t="shared" ca="1" si="368"/>
        <v>0</v>
      </c>
      <c r="S801" s="307">
        <f t="shared" ca="1" si="369"/>
        <v>8.0499999999999989</v>
      </c>
      <c r="T801" s="304">
        <f t="shared" ca="1" si="349"/>
        <v>78.970499999999987</v>
      </c>
      <c r="U801" s="311">
        <f t="shared" ca="1" si="350"/>
        <v>0</v>
      </c>
      <c r="V801" s="306">
        <f t="shared" ca="1" si="351"/>
        <v>1.2258153399315144</v>
      </c>
      <c r="W801" s="304">
        <f t="shared" ca="1" si="352"/>
        <v>58.320214020638375</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2.5145756125866221</v>
      </c>
      <c r="AH801" s="304">
        <f t="shared" ca="1" si="376"/>
        <v>-7.2447087201333922</v>
      </c>
    </row>
    <row r="802" spans="1:34" x14ac:dyDescent="0.3">
      <c r="A802" s="347">
        <f t="shared" ca="1" si="354"/>
        <v>1E-4</v>
      </c>
      <c r="B802" s="304">
        <f t="shared" ca="1" si="355"/>
        <v>33.927900000001138</v>
      </c>
      <c r="D802" s="306">
        <f t="shared" ca="1" si="356"/>
        <v>-0.73571454097909317</v>
      </c>
      <c r="E802" s="307">
        <f t="shared" ca="1" si="357"/>
        <v>-2.6027061656050234</v>
      </c>
      <c r="F802" s="304">
        <f t="shared" ca="1" si="358"/>
        <v>2.7046913447353806</v>
      </c>
      <c r="G802" s="306">
        <f t="shared" ca="1" si="359"/>
        <v>12.565780049179475</v>
      </c>
      <c r="H802" s="307">
        <f t="shared" ca="1" si="360"/>
        <v>-123.09936227202157</v>
      </c>
      <c r="I802" s="304">
        <f t="shared" ca="1" si="361"/>
        <v>123.73904727297185</v>
      </c>
      <c r="J802" s="306">
        <f t="shared" ca="1" si="362"/>
        <v>780.60585379989482</v>
      </c>
      <c r="K802" s="307">
        <f t="shared" ca="1" si="363"/>
        <v>-6.665931827971403</v>
      </c>
      <c r="L802" s="304">
        <f t="shared" ca="1" si="348"/>
        <v>780.63431492203688</v>
      </c>
      <c r="M802" s="306">
        <f t="shared" ca="1" si="364"/>
        <v>-1.469070326175137</v>
      </c>
      <c r="N802" s="304">
        <f t="shared" ca="1" si="365"/>
        <v>-84.171529497742583</v>
      </c>
      <c r="P802" s="310">
        <f t="shared" ca="1" si="366"/>
        <v>23</v>
      </c>
      <c r="Q802" s="304">
        <f t="shared" ca="1" si="367"/>
        <v>0</v>
      </c>
      <c r="R802" s="306">
        <f t="shared" ca="1" si="368"/>
        <v>0</v>
      </c>
      <c r="S802" s="307">
        <f t="shared" ca="1" si="369"/>
        <v>8.0499999999999989</v>
      </c>
      <c r="T802" s="304">
        <f t="shared" ca="1" si="349"/>
        <v>78.970499999999987</v>
      </c>
      <c r="U802" s="311">
        <f t="shared" ca="1" si="350"/>
        <v>0</v>
      </c>
      <c r="V802" s="306">
        <f t="shared" ca="1" si="351"/>
        <v>1.2258168489018813</v>
      </c>
      <c r="W802" s="304">
        <f t="shared" ca="1" si="352"/>
        <v>58.320522841967723</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2.5145380514757596</v>
      </c>
      <c r="AH802" s="304">
        <f t="shared" ca="1" si="376"/>
        <v>-7.2447470833091154</v>
      </c>
    </row>
    <row r="803" spans="1:34" x14ac:dyDescent="0.3">
      <c r="A803" s="347">
        <f t="shared" ca="1" si="354"/>
        <v>1E-4</v>
      </c>
      <c r="B803" s="304">
        <f t="shared" ca="1" si="355"/>
        <v>33.928000000001141</v>
      </c>
      <c r="D803" s="306">
        <f t="shared" ca="1" si="356"/>
        <v>-0.73571263418334731</v>
      </c>
      <c r="E803" s="307">
        <f t="shared" ca="1" si="357"/>
        <v>-2.6026674087094994</v>
      </c>
      <c r="F803" s="304">
        <f t="shared" ca="1" si="358"/>
        <v>2.7046535305757038</v>
      </c>
      <c r="G803" s="306">
        <f t="shared" ca="1" si="359"/>
        <v>12.565706477916057</v>
      </c>
      <c r="H803" s="307">
        <f t="shared" ca="1" si="360"/>
        <v>-123.09962253876243</v>
      </c>
      <c r="I803" s="304">
        <f t="shared" ca="1" si="361"/>
        <v>123.73929872306101</v>
      </c>
      <c r="J803" s="306">
        <f t="shared" ca="1" si="362"/>
        <v>780.60585379989482</v>
      </c>
      <c r="K803" s="307">
        <f t="shared" ca="1" si="363"/>
        <v>-6.6782417772119427</v>
      </c>
      <c r="L803" s="304">
        <f t="shared" ca="1" si="348"/>
        <v>780.6344201352498</v>
      </c>
      <c r="M803" s="306">
        <f t="shared" ca="1" si="364"/>
        <v>-1.4690711312644147</v>
      </c>
      <c r="N803" s="304">
        <f t="shared" ca="1" si="365"/>
        <v>-84.17157562596033</v>
      </c>
      <c r="P803" s="310">
        <f t="shared" ca="1" si="366"/>
        <v>23</v>
      </c>
      <c r="Q803" s="304">
        <f t="shared" ca="1" si="367"/>
        <v>0</v>
      </c>
      <c r="R803" s="306">
        <f t="shared" ca="1" si="368"/>
        <v>0</v>
      </c>
      <c r="S803" s="307">
        <f t="shared" ca="1" si="369"/>
        <v>8.0499999999999989</v>
      </c>
      <c r="T803" s="304">
        <f t="shared" ca="1" si="349"/>
        <v>78.970499999999987</v>
      </c>
      <c r="U803" s="311">
        <f t="shared" ca="1" si="350"/>
        <v>0</v>
      </c>
      <c r="V803" s="306">
        <f t="shared" ca="1" si="351"/>
        <v>1.2258183578772968</v>
      </c>
      <c r="W803" s="304">
        <f t="shared" ca="1" si="352"/>
        <v>58.320831661061881</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2.5145004906282802</v>
      </c>
      <c r="AH803" s="304">
        <f t="shared" ca="1" si="376"/>
        <v>-7.2447854462071719</v>
      </c>
    </row>
    <row r="804" spans="1:34" x14ac:dyDescent="0.3">
      <c r="A804" s="347">
        <f t="shared" ca="1" si="354"/>
        <v>1E-4</v>
      </c>
      <c r="B804" s="304">
        <f t="shared" ca="1" si="355"/>
        <v>33.928100000001145</v>
      </c>
      <c r="D804" s="306">
        <f t="shared" ca="1" si="356"/>
        <v>-0.73571072735503373</v>
      </c>
      <c r="E804" s="307">
        <f t="shared" ca="1" si="357"/>
        <v>-2.602628652094479</v>
      </c>
      <c r="F804" s="304">
        <f t="shared" ca="1" si="358"/>
        <v>2.7046157167051286</v>
      </c>
      <c r="G804" s="306">
        <f t="shared" ca="1" si="359"/>
        <v>12.565632906843321</v>
      </c>
      <c r="H804" s="307">
        <f t="shared" ca="1" si="360"/>
        <v>-123.09988280162764</v>
      </c>
      <c r="I804" s="304">
        <f t="shared" ca="1" si="361"/>
        <v>123.73955016939412</v>
      </c>
      <c r="J804" s="306">
        <f t="shared" ca="1" si="362"/>
        <v>780.60585379989482</v>
      </c>
      <c r="K804" s="307">
        <f t="shared" ca="1" si="363"/>
        <v>-6.6905517524789619</v>
      </c>
      <c r="L804" s="304">
        <f t="shared" ca="1" si="348"/>
        <v>780.63452554278899</v>
      </c>
      <c r="M804" s="306">
        <f t="shared" ca="1" si="364"/>
        <v>-1.4690719363457068</v>
      </c>
      <c r="N804" s="304">
        <f t="shared" ca="1" si="365"/>
        <v>-84.17162175372053</v>
      </c>
      <c r="P804" s="310">
        <f t="shared" ca="1" si="366"/>
        <v>23</v>
      </c>
      <c r="Q804" s="304">
        <f t="shared" ca="1" si="367"/>
        <v>0</v>
      </c>
      <c r="R804" s="306">
        <f t="shared" ca="1" si="368"/>
        <v>0</v>
      </c>
      <c r="S804" s="307">
        <f t="shared" ca="1" si="369"/>
        <v>8.0499999999999989</v>
      </c>
      <c r="T804" s="304">
        <f t="shared" ca="1" si="349"/>
        <v>78.970499999999987</v>
      </c>
      <c r="U804" s="311">
        <f t="shared" ca="1" si="350"/>
        <v>0</v>
      </c>
      <c r="V804" s="306">
        <f t="shared" ca="1" si="351"/>
        <v>1.2258198668577609</v>
      </c>
      <c r="W804" s="304">
        <f t="shared" ca="1" si="352"/>
        <v>58.321140477920842</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2.5144629300441856</v>
      </c>
      <c r="AH804" s="304">
        <f t="shared" ca="1" si="376"/>
        <v>-7.2448238088275634</v>
      </c>
    </row>
    <row r="805" spans="1:34" x14ac:dyDescent="0.3">
      <c r="A805" s="347">
        <f t="shared" ca="1" si="354"/>
        <v>1E-4</v>
      </c>
      <c r="B805" s="304">
        <f t="shared" ca="1" si="355"/>
        <v>33.928200000001148</v>
      </c>
      <c r="D805" s="306">
        <f t="shared" ca="1" si="356"/>
        <v>-0.73570882049415132</v>
      </c>
      <c r="E805" s="307">
        <f t="shared" ca="1" si="357"/>
        <v>-2.6025898957599614</v>
      </c>
      <c r="F805" s="304">
        <f t="shared" ca="1" si="358"/>
        <v>2.7045779031236541</v>
      </c>
      <c r="G805" s="306">
        <f t="shared" ca="1" si="359"/>
        <v>12.565559335961272</v>
      </c>
      <c r="H805" s="307">
        <f t="shared" ca="1" si="360"/>
        <v>-123.10014306061721</v>
      </c>
      <c r="I805" s="304">
        <f t="shared" ca="1" si="361"/>
        <v>123.73980161197119</v>
      </c>
      <c r="J805" s="306">
        <f t="shared" ca="1" si="362"/>
        <v>780.60585379989482</v>
      </c>
      <c r="K805" s="307">
        <f t="shared" ca="1" si="363"/>
        <v>-6.7028617537720745</v>
      </c>
      <c r="L805" s="304">
        <f t="shared" ca="1" si="348"/>
        <v>780.63463114465583</v>
      </c>
      <c r="M805" s="306">
        <f t="shared" ca="1" si="364"/>
        <v>-1.4690727414190132</v>
      </c>
      <c r="N805" s="304">
        <f t="shared" ca="1" si="365"/>
        <v>-84.171667881023183</v>
      </c>
      <c r="P805" s="310">
        <f t="shared" ca="1" si="366"/>
        <v>23</v>
      </c>
      <c r="Q805" s="304">
        <f t="shared" ca="1" si="367"/>
        <v>0</v>
      </c>
      <c r="R805" s="306">
        <f t="shared" ca="1" si="368"/>
        <v>0</v>
      </c>
      <c r="S805" s="307">
        <f t="shared" ca="1" si="369"/>
        <v>8.0499999999999989</v>
      </c>
      <c r="T805" s="304">
        <f t="shared" ca="1" si="349"/>
        <v>78.970499999999987</v>
      </c>
      <c r="U805" s="311">
        <f t="shared" ca="1" si="350"/>
        <v>0</v>
      </c>
      <c r="V805" s="306">
        <f t="shared" ca="1" si="351"/>
        <v>1.2258213758432734</v>
      </c>
      <c r="W805" s="304">
        <f t="shared" ca="1" si="352"/>
        <v>58.321449292544571</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2.5144253697234742</v>
      </c>
      <c r="AH805" s="304">
        <f t="shared" ca="1" si="376"/>
        <v>-7.2448621711702916</v>
      </c>
    </row>
    <row r="806" spans="1:34" x14ac:dyDescent="0.3">
      <c r="A806" s="347">
        <f t="shared" ca="1" si="354"/>
        <v>1E-4</v>
      </c>
      <c r="B806" s="304">
        <f t="shared" ca="1" si="355"/>
        <v>33.928300000001151</v>
      </c>
      <c r="D806" s="306">
        <f t="shared" ca="1" si="356"/>
        <v>-0.73570691360070062</v>
      </c>
      <c r="E806" s="307">
        <f t="shared" ca="1" si="357"/>
        <v>-2.60255113970595</v>
      </c>
      <c r="F806" s="304">
        <f t="shared" ca="1" si="358"/>
        <v>2.7045400898312839</v>
      </c>
      <c r="G806" s="306">
        <f t="shared" ca="1" si="359"/>
        <v>12.565485765269912</v>
      </c>
      <c r="H806" s="307">
        <f t="shared" ca="1" si="360"/>
        <v>-123.10040331573119</v>
      </c>
      <c r="I806" s="304">
        <f t="shared" ca="1" si="361"/>
        <v>123.74005305079226</v>
      </c>
      <c r="J806" s="306">
        <f t="shared" ca="1" si="362"/>
        <v>780.60585379989482</v>
      </c>
      <c r="K806" s="307">
        <f t="shared" ca="1" si="363"/>
        <v>-6.7151717810908922</v>
      </c>
      <c r="L806" s="304">
        <f t="shared" ca="1" si="348"/>
        <v>780.63473694085144</v>
      </c>
      <c r="M806" s="306">
        <f t="shared" ca="1" si="364"/>
        <v>-1.4690735464843343</v>
      </c>
      <c r="N806" s="304">
        <f t="shared" ca="1" si="365"/>
        <v>-84.171714007868317</v>
      </c>
      <c r="P806" s="310">
        <f t="shared" ca="1" si="366"/>
        <v>23</v>
      </c>
      <c r="Q806" s="304">
        <f t="shared" ca="1" si="367"/>
        <v>0</v>
      </c>
      <c r="R806" s="306">
        <f t="shared" ca="1" si="368"/>
        <v>0</v>
      </c>
      <c r="S806" s="307">
        <f t="shared" ca="1" si="369"/>
        <v>8.0499999999999989</v>
      </c>
      <c r="T806" s="304">
        <f t="shared" ca="1" si="349"/>
        <v>78.970499999999987</v>
      </c>
      <c r="U806" s="311">
        <f t="shared" ca="1" si="350"/>
        <v>0</v>
      </c>
      <c r="V806" s="306">
        <f t="shared" ca="1" si="351"/>
        <v>1.2258228848338346</v>
      </c>
      <c r="W806" s="304">
        <f t="shared" ca="1" si="352"/>
        <v>58.321758104933082</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2.5143878096661494</v>
      </c>
      <c r="AH806" s="304">
        <f t="shared" ca="1" si="376"/>
        <v>-7.2449005332353513</v>
      </c>
    </row>
    <row r="807" spans="1:34" x14ac:dyDescent="0.3">
      <c r="A807" s="347">
        <f t="shared" ca="1" si="354"/>
        <v>1E-4</v>
      </c>
      <c r="B807" s="304">
        <f t="shared" ca="1" si="355"/>
        <v>33.928400000001155</v>
      </c>
      <c r="D807" s="306">
        <f t="shared" ca="1" si="356"/>
        <v>-0.7357050066746823</v>
      </c>
      <c r="E807" s="307">
        <f t="shared" ca="1" si="357"/>
        <v>-2.602512383932444</v>
      </c>
      <c r="F807" s="304">
        <f t="shared" ca="1" si="358"/>
        <v>2.7045022768280167</v>
      </c>
      <c r="G807" s="306">
        <f t="shared" ca="1" si="359"/>
        <v>12.565412194769245</v>
      </c>
      <c r="H807" s="307">
        <f t="shared" ca="1" si="360"/>
        <v>-123.10066356696957</v>
      </c>
      <c r="I807" s="304">
        <f t="shared" ca="1" si="361"/>
        <v>123.74030448585734</v>
      </c>
      <c r="J807" s="306">
        <f t="shared" ca="1" si="362"/>
        <v>780.60585379989482</v>
      </c>
      <c r="K807" s="307">
        <f t="shared" ca="1" si="363"/>
        <v>-6.7274818344350269</v>
      </c>
      <c r="L807" s="304">
        <f t="shared" ca="1" si="348"/>
        <v>780.63484293137685</v>
      </c>
      <c r="M807" s="306">
        <f t="shared" ca="1" si="364"/>
        <v>-1.46907435154167</v>
      </c>
      <c r="N807" s="304">
        <f t="shared" ca="1" si="365"/>
        <v>-84.171760134255919</v>
      </c>
      <c r="P807" s="310">
        <f t="shared" ca="1" si="366"/>
        <v>23</v>
      </c>
      <c r="Q807" s="304">
        <f t="shared" ca="1" si="367"/>
        <v>0</v>
      </c>
      <c r="R807" s="306">
        <f t="shared" ca="1" si="368"/>
        <v>0</v>
      </c>
      <c r="S807" s="307">
        <f t="shared" ca="1" si="369"/>
        <v>8.0499999999999989</v>
      </c>
      <c r="T807" s="304">
        <f t="shared" ca="1" si="349"/>
        <v>78.970499999999987</v>
      </c>
      <c r="U807" s="311">
        <f t="shared" ca="1" si="350"/>
        <v>0</v>
      </c>
      <c r="V807" s="306">
        <f t="shared" ca="1" si="351"/>
        <v>1.2258243938294437</v>
      </c>
      <c r="W807" s="304">
        <f t="shared" ca="1" si="352"/>
        <v>58.322066915086353</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2.5143502498722112</v>
      </c>
      <c r="AH807" s="304">
        <f t="shared" ca="1" si="376"/>
        <v>-7.2449388950227442</v>
      </c>
    </row>
    <row r="808" spans="1:34" x14ac:dyDescent="0.3">
      <c r="A808" s="347">
        <f t="shared" ca="1" si="354"/>
        <v>1E-4</v>
      </c>
      <c r="B808" s="304">
        <f t="shared" ca="1" si="355"/>
        <v>33.928500000001158</v>
      </c>
      <c r="D808" s="306">
        <f t="shared" ca="1" si="356"/>
        <v>-0.73570309971609726</v>
      </c>
      <c r="E808" s="307">
        <f t="shared" ca="1" si="357"/>
        <v>-2.602473628439447</v>
      </c>
      <c r="F808" s="304">
        <f t="shared" ca="1" si="358"/>
        <v>2.7044644641138578</v>
      </c>
      <c r="G808" s="306">
        <f t="shared" ca="1" si="359"/>
        <v>12.565338624459272</v>
      </c>
      <c r="H808" s="307">
        <f t="shared" ca="1" si="360"/>
        <v>-123.10092381433242</v>
      </c>
      <c r="I808" s="304">
        <f t="shared" ca="1" si="361"/>
        <v>123.74055591716647</v>
      </c>
      <c r="J808" s="306">
        <f t="shared" ca="1" si="362"/>
        <v>780.60585379989482</v>
      </c>
      <c r="K808" s="307">
        <f t="shared" ca="1" si="363"/>
        <v>-6.7397919138040923</v>
      </c>
      <c r="L808" s="304">
        <f t="shared" ca="1" si="348"/>
        <v>780.6349491162332</v>
      </c>
      <c r="M808" s="306">
        <f t="shared" ca="1" si="364"/>
        <v>-1.4690751565910205</v>
      </c>
      <c r="N808" s="304">
        <f t="shared" ca="1" si="365"/>
        <v>-84.171806260186003</v>
      </c>
      <c r="P808" s="310">
        <f t="shared" ca="1" si="366"/>
        <v>23</v>
      </c>
      <c r="Q808" s="304">
        <f t="shared" ca="1" si="367"/>
        <v>0</v>
      </c>
      <c r="R808" s="306">
        <f t="shared" ca="1" si="368"/>
        <v>0</v>
      </c>
      <c r="S808" s="307">
        <f t="shared" ca="1" si="369"/>
        <v>8.0499999999999989</v>
      </c>
      <c r="T808" s="304">
        <f t="shared" ca="1" si="349"/>
        <v>78.970499999999987</v>
      </c>
      <c r="U808" s="311">
        <f t="shared" ca="1" si="350"/>
        <v>0</v>
      </c>
      <c r="V808" s="306">
        <f t="shared" ca="1" si="351"/>
        <v>1.225825902830102</v>
      </c>
      <c r="W808" s="304">
        <f t="shared" ca="1" si="352"/>
        <v>58.32237572300442</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2.5143126903416633</v>
      </c>
      <c r="AH808" s="304">
        <f t="shared" ca="1" si="376"/>
        <v>-7.2449772565324668</v>
      </c>
    </row>
    <row r="809" spans="1:34" x14ac:dyDescent="0.3">
      <c r="A809" s="347">
        <f t="shared" ca="1" si="354"/>
        <v>1E-4</v>
      </c>
      <c r="B809" s="304">
        <f t="shared" ca="1" si="355"/>
        <v>33.928600000001161</v>
      </c>
      <c r="D809" s="306">
        <f t="shared" ca="1" si="356"/>
        <v>-0.73570119272494627</v>
      </c>
      <c r="E809" s="307">
        <f t="shared" ca="1" si="357"/>
        <v>-2.6024348732269527</v>
      </c>
      <c r="F809" s="304">
        <f t="shared" ca="1" si="358"/>
        <v>2.7044266516888</v>
      </c>
      <c r="G809" s="306">
        <f t="shared" ca="1" si="359"/>
        <v>12.565265054339999</v>
      </c>
      <c r="H809" s="307">
        <f t="shared" ca="1" si="360"/>
        <v>-123.10118405781974</v>
      </c>
      <c r="I809" s="304">
        <f t="shared" ca="1" si="361"/>
        <v>123.74080734471967</v>
      </c>
      <c r="J809" s="306">
        <f t="shared" ca="1" si="362"/>
        <v>780.60585379989482</v>
      </c>
      <c r="K809" s="307">
        <f t="shared" ca="1" si="363"/>
        <v>-6.7521020191977001</v>
      </c>
      <c r="L809" s="304">
        <f t="shared" ca="1" si="348"/>
        <v>780.63505549542185</v>
      </c>
      <c r="M809" s="306">
        <f t="shared" ca="1" si="364"/>
        <v>-1.4690759616323859</v>
      </c>
      <c r="N809" s="304">
        <f t="shared" ca="1" si="365"/>
        <v>-84.171852385658568</v>
      </c>
      <c r="P809" s="310">
        <f t="shared" ca="1" si="366"/>
        <v>23</v>
      </c>
      <c r="Q809" s="304">
        <f t="shared" ca="1" si="367"/>
        <v>0</v>
      </c>
      <c r="R809" s="306">
        <f t="shared" ca="1" si="368"/>
        <v>0</v>
      </c>
      <c r="S809" s="307">
        <f t="shared" ca="1" si="369"/>
        <v>8.0499999999999989</v>
      </c>
      <c r="T809" s="304">
        <f t="shared" ca="1" si="349"/>
        <v>78.970499999999987</v>
      </c>
      <c r="U809" s="311">
        <f t="shared" ca="1" si="350"/>
        <v>0</v>
      </c>
      <c r="V809" s="306">
        <f t="shared" ca="1" si="351"/>
        <v>1.2258274118358079</v>
      </c>
      <c r="W809" s="304">
        <f t="shared" ca="1" si="352"/>
        <v>58.322684528687191</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2.5142751310745011</v>
      </c>
      <c r="AH809" s="304">
        <f t="shared" ca="1" si="376"/>
        <v>-7.2450156177645253</v>
      </c>
    </row>
    <row r="810" spans="1:34" x14ac:dyDescent="0.3">
      <c r="A810" s="347">
        <f t="shared" ca="1" si="354"/>
        <v>1E-4</v>
      </c>
      <c r="B810" s="304">
        <f t="shared" ca="1" si="355"/>
        <v>33.928700000001164</v>
      </c>
      <c r="D810" s="306">
        <f t="shared" ca="1" si="356"/>
        <v>-0.73569928570122956</v>
      </c>
      <c r="E810" s="307">
        <f t="shared" ca="1" si="357"/>
        <v>-2.6023961182949753</v>
      </c>
      <c r="F810" s="304">
        <f t="shared" ca="1" si="358"/>
        <v>2.7043888395528581</v>
      </c>
      <c r="G810" s="306">
        <f t="shared" ca="1" si="359"/>
        <v>12.565191484411429</v>
      </c>
      <c r="H810" s="307">
        <f t="shared" ca="1" si="360"/>
        <v>-123.10144429743157</v>
      </c>
      <c r="I810" s="304">
        <f t="shared" ca="1" si="361"/>
        <v>123.74105876851698</v>
      </c>
      <c r="J810" s="306">
        <f t="shared" ca="1" si="362"/>
        <v>780.60585379989482</v>
      </c>
      <c r="K810" s="307">
        <f t="shared" ca="1" si="363"/>
        <v>-6.7644121506154624</v>
      </c>
      <c r="L810" s="304">
        <f t="shared" ca="1" si="348"/>
        <v>780.63516206894371</v>
      </c>
      <c r="M810" s="306">
        <f t="shared" ca="1" si="364"/>
        <v>-1.4690767666657663</v>
      </c>
      <c r="N810" s="304">
        <f t="shared" ca="1" si="365"/>
        <v>-84.171898510673628</v>
      </c>
      <c r="P810" s="310">
        <f t="shared" ca="1" si="366"/>
        <v>23</v>
      </c>
      <c r="Q810" s="304">
        <f t="shared" ca="1" si="367"/>
        <v>0</v>
      </c>
      <c r="R810" s="306">
        <f t="shared" ca="1" si="368"/>
        <v>0</v>
      </c>
      <c r="S810" s="307">
        <f t="shared" ca="1" si="369"/>
        <v>8.0499999999999989</v>
      </c>
      <c r="T810" s="304">
        <f t="shared" ca="1" si="349"/>
        <v>78.970499999999987</v>
      </c>
      <c r="U810" s="311">
        <f t="shared" ca="1" si="350"/>
        <v>0</v>
      </c>
      <c r="V810" s="306">
        <f t="shared" ca="1" si="351"/>
        <v>1.2258289208465629</v>
      </c>
      <c r="W810" s="304">
        <f t="shared" ca="1" si="352"/>
        <v>58.322993332134772</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2.5142375720707362</v>
      </c>
      <c r="AH810" s="304">
        <f t="shared" ca="1" si="376"/>
        <v>-7.2450539787189063</v>
      </c>
    </row>
    <row r="811" spans="1:34" x14ac:dyDescent="0.3">
      <c r="A811" s="347">
        <f t="shared" ca="1" si="354"/>
        <v>1E-4</v>
      </c>
      <c r="B811" s="304">
        <f t="shared" ca="1" si="355"/>
        <v>33.928800000001168</v>
      </c>
      <c r="D811" s="306">
        <f t="shared" ca="1" si="356"/>
        <v>-0.73569737864494855</v>
      </c>
      <c r="E811" s="307">
        <f t="shared" ca="1" si="357"/>
        <v>-2.6023573636434971</v>
      </c>
      <c r="F811" s="304">
        <f t="shared" ca="1" si="358"/>
        <v>2.7043510277060152</v>
      </c>
      <c r="G811" s="306">
        <f t="shared" ca="1" si="359"/>
        <v>12.565117914673564</v>
      </c>
      <c r="H811" s="307">
        <f t="shared" ca="1" si="360"/>
        <v>-123.10170453316793</v>
      </c>
      <c r="I811" s="304">
        <f t="shared" ca="1" si="361"/>
        <v>123.7413101885584</v>
      </c>
      <c r="J811" s="306">
        <f t="shared" ca="1" si="362"/>
        <v>780.60585379989482</v>
      </c>
      <c r="K811" s="307">
        <f t="shared" ca="1" si="363"/>
        <v>-6.7767223080569927</v>
      </c>
      <c r="L811" s="304">
        <f t="shared" ca="1" si="348"/>
        <v>780.63526883680015</v>
      </c>
      <c r="M811" s="306">
        <f t="shared" ca="1" si="364"/>
        <v>-1.4690775716911619</v>
      </c>
      <c r="N811" s="304">
        <f t="shared" ca="1" si="365"/>
        <v>-84.171944635231199</v>
      </c>
      <c r="P811" s="310">
        <f t="shared" ca="1" si="366"/>
        <v>23</v>
      </c>
      <c r="Q811" s="304">
        <f t="shared" ca="1" si="367"/>
        <v>0</v>
      </c>
      <c r="R811" s="306">
        <f t="shared" ca="1" si="368"/>
        <v>0</v>
      </c>
      <c r="S811" s="307">
        <f t="shared" ca="1" si="369"/>
        <v>8.0499999999999989</v>
      </c>
      <c r="T811" s="304">
        <f t="shared" ca="1" si="349"/>
        <v>78.970499999999987</v>
      </c>
      <c r="U811" s="311">
        <f t="shared" ca="1" si="350"/>
        <v>0</v>
      </c>
      <c r="V811" s="306">
        <f t="shared" ca="1" si="351"/>
        <v>1.2258304298623657</v>
      </c>
      <c r="W811" s="304">
        <f t="shared" ca="1" si="352"/>
        <v>58.323302133347056</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2.5142000133303535</v>
      </c>
      <c r="AH811" s="304">
        <f t="shared" ca="1" si="376"/>
        <v>-7.245092339395625</v>
      </c>
    </row>
    <row r="812" spans="1:34" x14ac:dyDescent="0.3">
      <c r="A812" s="347">
        <f t="shared" ca="1" si="354"/>
        <v>1E-4</v>
      </c>
      <c r="B812" s="304">
        <f t="shared" ca="1" si="355"/>
        <v>33.928900000001171</v>
      </c>
      <c r="D812" s="306">
        <f t="shared" ca="1" si="356"/>
        <v>-0.73569547155610182</v>
      </c>
      <c r="E812" s="307">
        <f t="shared" ca="1" si="357"/>
        <v>-2.6023186092725359</v>
      </c>
      <c r="F812" s="304">
        <f t="shared" ca="1" si="358"/>
        <v>2.7043132161482886</v>
      </c>
      <c r="G812" s="306">
        <f t="shared" ca="1" si="359"/>
        <v>12.56504434512641</v>
      </c>
      <c r="H812" s="307">
        <f t="shared" ca="1" si="360"/>
        <v>-123.10196476502885</v>
      </c>
      <c r="I812" s="304">
        <f t="shared" ca="1" si="361"/>
        <v>123.74156160484398</v>
      </c>
      <c r="J812" s="306">
        <f t="shared" ca="1" si="362"/>
        <v>780.60585379989482</v>
      </c>
      <c r="K812" s="307">
        <f t="shared" ca="1" si="363"/>
        <v>-6.7890324915219029</v>
      </c>
      <c r="L812" s="304">
        <f t="shared" ca="1" si="348"/>
        <v>780.63537579899219</v>
      </c>
      <c r="M812" s="306">
        <f t="shared" ca="1" si="364"/>
        <v>-1.4690783767085727</v>
      </c>
      <c r="N812" s="304">
        <f t="shared" ca="1" si="365"/>
        <v>-84.17199075933128</v>
      </c>
      <c r="P812" s="310">
        <f t="shared" ca="1" si="366"/>
        <v>23</v>
      </c>
      <c r="Q812" s="304">
        <f t="shared" ca="1" si="367"/>
        <v>0</v>
      </c>
      <c r="R812" s="306">
        <f t="shared" ca="1" si="368"/>
        <v>0</v>
      </c>
      <c r="S812" s="307">
        <f t="shared" ca="1" si="369"/>
        <v>8.0499999999999989</v>
      </c>
      <c r="T812" s="304">
        <f t="shared" ca="1" si="349"/>
        <v>78.970499999999987</v>
      </c>
      <c r="U812" s="311">
        <f t="shared" ca="1" si="350"/>
        <v>0</v>
      </c>
      <c r="V812" s="306">
        <f t="shared" ca="1" si="351"/>
        <v>1.2258319388832168</v>
      </c>
      <c r="W812" s="304">
        <f t="shared" ca="1" si="352"/>
        <v>58.323610932324087</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2.5141624548533699</v>
      </c>
      <c r="AH812" s="304">
        <f t="shared" ca="1" si="376"/>
        <v>-7.2451306997946663</v>
      </c>
    </row>
    <row r="813" spans="1:34" x14ac:dyDescent="0.3">
      <c r="A813" s="347">
        <f t="shared" ca="1" si="354"/>
        <v>1E-4</v>
      </c>
      <c r="B813" s="304">
        <f t="shared" ca="1" si="355"/>
        <v>33.929000000001174</v>
      </c>
      <c r="D813" s="306">
        <f t="shared" ca="1" si="356"/>
        <v>-0.73569356443469314</v>
      </c>
      <c r="E813" s="307">
        <f t="shared" ca="1" si="357"/>
        <v>-2.6022798551820845</v>
      </c>
      <c r="F813" s="304">
        <f t="shared" ca="1" si="358"/>
        <v>2.704275404879672</v>
      </c>
      <c r="G813" s="306">
        <f t="shared" ca="1" si="359"/>
        <v>12.564970775769966</v>
      </c>
      <c r="H813" s="307">
        <f t="shared" ca="1" si="360"/>
        <v>-123.10222499301437</v>
      </c>
      <c r="I813" s="304">
        <f t="shared" ca="1" si="361"/>
        <v>123.74181301737374</v>
      </c>
      <c r="J813" s="306">
        <f t="shared" ca="1" si="362"/>
        <v>780.60585379989482</v>
      </c>
      <c r="K813" s="307">
        <f t="shared" ca="1" si="363"/>
        <v>-6.8013427010098049</v>
      </c>
      <c r="L813" s="304">
        <f t="shared" ca="1" si="348"/>
        <v>780.63548295552084</v>
      </c>
      <c r="M813" s="306">
        <f t="shared" ca="1" si="364"/>
        <v>-1.4690791817179989</v>
      </c>
      <c r="N813" s="304">
        <f t="shared" ca="1" si="365"/>
        <v>-84.17203688297387</v>
      </c>
      <c r="P813" s="310">
        <f t="shared" ca="1" si="366"/>
        <v>23</v>
      </c>
      <c r="Q813" s="304">
        <f t="shared" ca="1" si="367"/>
        <v>0</v>
      </c>
      <c r="R813" s="306">
        <f t="shared" ca="1" si="368"/>
        <v>0</v>
      </c>
      <c r="S813" s="307">
        <f t="shared" ca="1" si="369"/>
        <v>8.0499999999999989</v>
      </c>
      <c r="T813" s="304">
        <f t="shared" ca="1" si="349"/>
        <v>78.970499999999987</v>
      </c>
      <c r="U813" s="311">
        <f t="shared" ca="1" si="350"/>
        <v>0</v>
      </c>
      <c r="V813" s="306">
        <f t="shared" ca="1" si="351"/>
        <v>1.2258334479091162</v>
      </c>
      <c r="W813" s="304">
        <f t="shared" ca="1" si="352"/>
        <v>58.32391972906585</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2.5141248966397791</v>
      </c>
      <c r="AH813" s="304">
        <f t="shared" ca="1" si="376"/>
        <v>-7.2451690599160363</v>
      </c>
    </row>
    <row r="814" spans="1:34" x14ac:dyDescent="0.3">
      <c r="A814" s="347">
        <f t="shared" ca="1" si="354"/>
        <v>1E-4</v>
      </c>
      <c r="B814" s="304">
        <f t="shared" ca="1" si="355"/>
        <v>33.929100000001178</v>
      </c>
      <c r="D814" s="306">
        <f t="shared" ca="1" si="356"/>
        <v>-0.73569165728072095</v>
      </c>
      <c r="E814" s="307">
        <f t="shared" ca="1" si="357"/>
        <v>-2.6022411013721438</v>
      </c>
      <c r="F814" s="304">
        <f t="shared" ca="1" si="358"/>
        <v>2.7042375939001664</v>
      </c>
      <c r="G814" s="306">
        <f t="shared" ca="1" si="359"/>
        <v>12.564897206604238</v>
      </c>
      <c r="H814" s="307">
        <f t="shared" ca="1" si="360"/>
        <v>-123.10248521712451</v>
      </c>
      <c r="I814" s="304">
        <f t="shared" ca="1" si="361"/>
        <v>123.74206442614771</v>
      </c>
      <c r="J814" s="306">
        <f t="shared" ca="1" si="362"/>
        <v>780.60585379989482</v>
      </c>
      <c r="K814" s="307">
        <f t="shared" ca="1" si="363"/>
        <v>-6.8136529365203122</v>
      </c>
      <c r="L814" s="304">
        <f t="shared" ca="1" si="348"/>
        <v>780.63559030638748</v>
      </c>
      <c r="M814" s="306">
        <f t="shared" ca="1" si="364"/>
        <v>-1.4690799867194406</v>
      </c>
      <c r="N814" s="304">
        <f t="shared" ca="1" si="365"/>
        <v>-84.172083006158971</v>
      </c>
      <c r="P814" s="310">
        <f t="shared" ca="1" si="366"/>
        <v>23</v>
      </c>
      <c r="Q814" s="304">
        <f t="shared" ca="1" si="367"/>
        <v>0</v>
      </c>
      <c r="R814" s="306">
        <f t="shared" ca="1" si="368"/>
        <v>0</v>
      </c>
      <c r="S814" s="307">
        <f t="shared" ca="1" si="369"/>
        <v>8.0499999999999989</v>
      </c>
      <c r="T814" s="304">
        <f t="shared" ca="1" si="349"/>
        <v>78.970499999999987</v>
      </c>
      <c r="U814" s="311">
        <f t="shared" ca="1" si="350"/>
        <v>0</v>
      </c>
      <c r="V814" s="306">
        <f t="shared" ca="1" si="351"/>
        <v>1.2258349569400644</v>
      </c>
      <c r="W814" s="304">
        <f t="shared" ca="1" si="352"/>
        <v>58.324228523572366</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2.5140873386895821</v>
      </c>
      <c r="AH814" s="304">
        <f t="shared" ca="1" si="376"/>
        <v>-7.2452074197597343</v>
      </c>
    </row>
    <row r="815" spans="1:34" x14ac:dyDescent="0.3">
      <c r="A815" s="347">
        <f t="shared" ca="1" si="354"/>
        <v>1E-4</v>
      </c>
      <c r="B815" s="304">
        <f t="shared" ca="1" si="355"/>
        <v>33.929200000001181</v>
      </c>
      <c r="D815" s="306">
        <f t="shared" ca="1" si="356"/>
        <v>-0.73568975009418658</v>
      </c>
      <c r="E815" s="307">
        <f t="shared" ca="1" si="357"/>
        <v>-2.602202347842713</v>
      </c>
      <c r="F815" s="304">
        <f t="shared" ca="1" si="358"/>
        <v>2.7041997832097713</v>
      </c>
      <c r="G815" s="306">
        <f t="shared" ca="1" si="359"/>
        <v>12.564823637629228</v>
      </c>
      <c r="H815" s="307">
        <f t="shared" ca="1" si="360"/>
        <v>-123.10274543735929</v>
      </c>
      <c r="I815" s="304">
        <f t="shared" ca="1" si="361"/>
        <v>123.7423158311659</v>
      </c>
      <c r="J815" s="306">
        <f t="shared" ca="1" si="362"/>
        <v>780.60585379989482</v>
      </c>
      <c r="K815" s="307">
        <f t="shared" ca="1" si="363"/>
        <v>-6.8259631980530369</v>
      </c>
      <c r="L815" s="304">
        <f t="shared" ca="1" si="348"/>
        <v>780.63569785159325</v>
      </c>
      <c r="M815" s="306">
        <f t="shared" ca="1" si="364"/>
        <v>-1.4690807917128978</v>
      </c>
      <c r="N815" s="304">
        <f t="shared" ca="1" si="365"/>
        <v>-84.17212912888661</v>
      </c>
      <c r="P815" s="310">
        <f t="shared" ca="1" si="366"/>
        <v>23</v>
      </c>
      <c r="Q815" s="304">
        <f t="shared" ca="1" si="367"/>
        <v>0</v>
      </c>
      <c r="R815" s="306">
        <f t="shared" ca="1" si="368"/>
        <v>0</v>
      </c>
      <c r="S815" s="307">
        <f t="shared" ca="1" si="369"/>
        <v>8.0499999999999989</v>
      </c>
      <c r="T815" s="304">
        <f t="shared" ca="1" si="349"/>
        <v>78.970499999999987</v>
      </c>
      <c r="U815" s="311">
        <f t="shared" ca="1" si="350"/>
        <v>0</v>
      </c>
      <c r="V815" s="306">
        <f t="shared" ca="1" si="351"/>
        <v>1.2258364659760601</v>
      </c>
      <c r="W815" s="304">
        <f t="shared" ca="1" si="352"/>
        <v>58.324537315843557</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2.514049781002778</v>
      </c>
      <c r="AH815" s="304">
        <f t="shared" ca="1" si="376"/>
        <v>-7.245245779325761</v>
      </c>
    </row>
    <row r="816" spans="1:34" x14ac:dyDescent="0.3">
      <c r="A816" s="347">
        <f t="shared" ca="1" si="354"/>
        <v>1E-4</v>
      </c>
      <c r="B816" s="304">
        <f t="shared" ca="1" si="355"/>
        <v>33.929300000001184</v>
      </c>
      <c r="D816" s="306">
        <f t="shared" ca="1" si="356"/>
        <v>-0.73568784287509115</v>
      </c>
      <c r="E816" s="307">
        <f t="shared" ca="1" si="357"/>
        <v>-2.6021635945938009</v>
      </c>
      <c r="F816" s="304">
        <f t="shared" ca="1" si="358"/>
        <v>2.7041619728084956</v>
      </c>
      <c r="G816" s="306">
        <f t="shared" ca="1" si="359"/>
        <v>12.564750068844941</v>
      </c>
      <c r="H816" s="307">
        <f t="shared" ca="1" si="360"/>
        <v>-123.10300565371875</v>
      </c>
      <c r="I816" s="304">
        <f t="shared" ca="1" si="361"/>
        <v>123.74256723242836</v>
      </c>
      <c r="J816" s="306">
        <f t="shared" ca="1" si="362"/>
        <v>780.60585379989482</v>
      </c>
      <c r="K816" s="307">
        <f t="shared" ca="1" si="363"/>
        <v>-6.8382734856075906</v>
      </c>
      <c r="L816" s="304">
        <f t="shared" ca="1" si="348"/>
        <v>780.63580559113916</v>
      </c>
      <c r="M816" s="306">
        <f t="shared" ca="1" si="364"/>
        <v>-1.469081596698371</v>
      </c>
      <c r="N816" s="304">
        <f t="shared" ca="1" si="365"/>
        <v>-84.172175251156787</v>
      </c>
      <c r="P816" s="310">
        <f t="shared" ca="1" si="366"/>
        <v>23</v>
      </c>
      <c r="Q816" s="304">
        <f t="shared" ca="1" si="367"/>
        <v>0</v>
      </c>
      <c r="R816" s="306">
        <f t="shared" ca="1" si="368"/>
        <v>0</v>
      </c>
      <c r="S816" s="307">
        <f t="shared" ca="1" si="369"/>
        <v>8.0499999999999989</v>
      </c>
      <c r="T816" s="304">
        <f t="shared" ca="1" si="349"/>
        <v>78.970499999999987</v>
      </c>
      <c r="U816" s="311">
        <f t="shared" ca="1" si="350"/>
        <v>0</v>
      </c>
      <c r="V816" s="306">
        <f t="shared" ca="1" si="351"/>
        <v>1.2258379750171038</v>
      </c>
      <c r="W816" s="304">
        <f t="shared" ca="1" si="352"/>
        <v>58.324846105879459</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2.5140122235793774</v>
      </c>
      <c r="AH816" s="304">
        <f t="shared" ca="1" si="376"/>
        <v>-7.2452841386141076</v>
      </c>
    </row>
    <row r="817" spans="1:34" x14ac:dyDescent="0.3">
      <c r="A817" s="347">
        <f t="shared" ca="1" si="354"/>
        <v>1E-4</v>
      </c>
      <c r="B817" s="304">
        <f t="shared" ca="1" si="355"/>
        <v>33.929400000001188</v>
      </c>
      <c r="D817" s="306">
        <f t="shared" ca="1" si="356"/>
        <v>-0.73568593562343321</v>
      </c>
      <c r="E817" s="307">
        <f t="shared" ca="1" si="357"/>
        <v>-2.6021248416254021</v>
      </c>
      <c r="F817" s="304">
        <f t="shared" ca="1" si="358"/>
        <v>2.7041241626963344</v>
      </c>
      <c r="G817" s="306">
        <f t="shared" ca="1" si="359"/>
        <v>12.564676500251378</v>
      </c>
      <c r="H817" s="307">
        <f t="shared" ca="1" si="360"/>
        <v>-123.10326586620292</v>
      </c>
      <c r="I817" s="304">
        <f t="shared" ca="1" si="361"/>
        <v>123.74281862993509</v>
      </c>
      <c r="J817" s="306">
        <f t="shared" ca="1" si="362"/>
        <v>780.60585379989482</v>
      </c>
      <c r="K817" s="307">
        <f t="shared" ca="1" si="363"/>
        <v>-6.8505837991835863</v>
      </c>
      <c r="L817" s="304">
        <f t="shared" ca="1" si="348"/>
        <v>780.63591352502635</v>
      </c>
      <c r="M817" s="306">
        <f t="shared" ca="1" si="364"/>
        <v>-1.4690824016758599</v>
      </c>
      <c r="N817" s="304">
        <f t="shared" ca="1" si="365"/>
        <v>-84.172221372969517</v>
      </c>
      <c r="P817" s="310">
        <f t="shared" ca="1" si="366"/>
        <v>23</v>
      </c>
      <c r="Q817" s="304">
        <f t="shared" ca="1" si="367"/>
        <v>0</v>
      </c>
      <c r="R817" s="306">
        <f t="shared" ca="1" si="368"/>
        <v>0</v>
      </c>
      <c r="S817" s="307">
        <f t="shared" ca="1" si="369"/>
        <v>8.0499999999999989</v>
      </c>
      <c r="T817" s="304">
        <f t="shared" ca="1" si="349"/>
        <v>78.970499999999987</v>
      </c>
      <c r="U817" s="311">
        <f t="shared" ca="1" si="350"/>
        <v>0</v>
      </c>
      <c r="V817" s="306">
        <f t="shared" ca="1" si="351"/>
        <v>1.2258394840631963</v>
      </c>
      <c r="W817" s="304">
        <f t="shared" ca="1" si="352"/>
        <v>58.3251548936801</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2.5139746664193741</v>
      </c>
      <c r="AH817" s="304">
        <f t="shared" ca="1" si="376"/>
        <v>-7.2453224976247785</v>
      </c>
    </row>
    <row r="818" spans="1:34" x14ac:dyDescent="0.3">
      <c r="A818" s="347">
        <f t="shared" ca="1" si="354"/>
        <v>1E-4</v>
      </c>
      <c r="B818" s="304">
        <f t="shared" ca="1" si="355"/>
        <v>33.929500000001191</v>
      </c>
      <c r="D818" s="306">
        <f t="shared" ca="1" si="356"/>
        <v>-0.73568402833921631</v>
      </c>
      <c r="E818" s="307">
        <f t="shared" ca="1" si="357"/>
        <v>-2.6020860889375159</v>
      </c>
      <c r="F818" s="304">
        <f t="shared" ca="1" si="358"/>
        <v>2.7040863528732868</v>
      </c>
      <c r="G818" s="306">
        <f t="shared" ca="1" si="359"/>
        <v>12.564602931848544</v>
      </c>
      <c r="H818" s="307">
        <f t="shared" ca="1" si="360"/>
        <v>-123.10352607481181</v>
      </c>
      <c r="I818" s="304">
        <f t="shared" ca="1" si="361"/>
        <v>123.74307002368612</v>
      </c>
      <c r="J818" s="306">
        <f t="shared" ca="1" si="362"/>
        <v>780.60585379989482</v>
      </c>
      <c r="K818" s="307">
        <f t="shared" ca="1" si="363"/>
        <v>-6.8628941387806366</v>
      </c>
      <c r="L818" s="304">
        <f t="shared" ca="1" si="348"/>
        <v>780.63602165325597</v>
      </c>
      <c r="M818" s="306">
        <f t="shared" ca="1" si="364"/>
        <v>-1.4690832066453647</v>
      </c>
      <c r="N818" s="304">
        <f t="shared" ca="1" si="365"/>
        <v>-84.172267494324771</v>
      </c>
      <c r="P818" s="310">
        <f t="shared" ca="1" si="366"/>
        <v>23</v>
      </c>
      <c r="Q818" s="304">
        <f t="shared" ca="1" si="367"/>
        <v>0</v>
      </c>
      <c r="R818" s="306">
        <f t="shared" ca="1" si="368"/>
        <v>0</v>
      </c>
      <c r="S818" s="307">
        <f t="shared" ca="1" si="369"/>
        <v>8.0499999999999989</v>
      </c>
      <c r="T818" s="304">
        <f t="shared" ca="1" si="349"/>
        <v>78.970499999999987</v>
      </c>
      <c r="U818" s="311">
        <f t="shared" ca="1" si="350"/>
        <v>0</v>
      </c>
      <c r="V818" s="306">
        <f t="shared" ca="1" si="351"/>
        <v>1.2258409931143364</v>
      </c>
      <c r="W818" s="304">
        <f t="shared" ca="1" si="352"/>
        <v>58.325463679245388</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2.5139371095227663</v>
      </c>
      <c r="AH818" s="304">
        <f t="shared" ca="1" si="376"/>
        <v>-7.2453608563577774</v>
      </c>
    </row>
    <row r="819" spans="1:34" x14ac:dyDescent="0.3">
      <c r="A819" s="347">
        <f t="shared" ca="1" si="354"/>
        <v>1E-4</v>
      </c>
      <c r="B819" s="304">
        <f t="shared" ca="1" si="355"/>
        <v>33.929600000001194</v>
      </c>
      <c r="D819" s="306">
        <f t="shared" ca="1" si="356"/>
        <v>-0.73568212102243957</v>
      </c>
      <c r="E819" s="307">
        <f t="shared" ca="1" si="357"/>
        <v>-2.6020473365301511</v>
      </c>
      <c r="F819" s="304">
        <f t="shared" ca="1" si="358"/>
        <v>2.7040485433393626</v>
      </c>
      <c r="G819" s="306">
        <f t="shared" ca="1" si="359"/>
        <v>12.564529363636442</v>
      </c>
      <c r="H819" s="307">
        <f t="shared" ca="1" si="360"/>
        <v>-123.10378627954546</v>
      </c>
      <c r="I819" s="304">
        <f t="shared" ca="1" si="361"/>
        <v>123.7433214136815</v>
      </c>
      <c r="J819" s="306">
        <f t="shared" ca="1" si="362"/>
        <v>780.60585379989482</v>
      </c>
      <c r="K819" s="307">
        <f t="shared" ca="1" si="363"/>
        <v>-6.8752045043983543</v>
      </c>
      <c r="L819" s="304">
        <f t="shared" ca="1" si="348"/>
        <v>780.63612997582936</v>
      </c>
      <c r="M819" s="306">
        <f t="shared" ca="1" si="364"/>
        <v>-1.4690840116068857</v>
      </c>
      <c r="N819" s="304">
        <f t="shared" ca="1" si="365"/>
        <v>-84.172313615222592</v>
      </c>
      <c r="P819" s="310">
        <f t="shared" ca="1" si="366"/>
        <v>23</v>
      </c>
      <c r="Q819" s="304">
        <f t="shared" ca="1" si="367"/>
        <v>0</v>
      </c>
      <c r="R819" s="306">
        <f t="shared" ca="1" si="368"/>
        <v>0</v>
      </c>
      <c r="S819" s="307">
        <f t="shared" ca="1" si="369"/>
        <v>8.0499999999999989</v>
      </c>
      <c r="T819" s="304">
        <f t="shared" ca="1" si="349"/>
        <v>78.970499999999987</v>
      </c>
      <c r="U819" s="311">
        <f t="shared" ca="1" si="350"/>
        <v>0</v>
      </c>
      <c r="V819" s="306">
        <f t="shared" ca="1" si="351"/>
        <v>1.2258425021705248</v>
      </c>
      <c r="W819" s="304">
        <f t="shared" ca="1" si="352"/>
        <v>58.325772462575415</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2.5138995528895656</v>
      </c>
      <c r="AH819" s="304">
        <f t="shared" ca="1" si="376"/>
        <v>-7.2453992148130926</v>
      </c>
    </row>
    <row r="820" spans="1:34" x14ac:dyDescent="0.3">
      <c r="A820" s="347">
        <f t="shared" ca="1" si="354"/>
        <v>1E-4</v>
      </c>
      <c r="B820" s="304">
        <f t="shared" ca="1" si="355"/>
        <v>33.929700000001198</v>
      </c>
      <c r="D820" s="306">
        <f t="shared" ca="1" si="356"/>
        <v>-0.73568021367310366</v>
      </c>
      <c r="E820" s="307">
        <f t="shared" ca="1" si="357"/>
        <v>-2.602008584403297</v>
      </c>
      <c r="F820" s="304">
        <f t="shared" ca="1" si="358"/>
        <v>2.7040107340945512</v>
      </c>
      <c r="G820" s="306">
        <f t="shared" ca="1" si="359"/>
        <v>12.564455795615075</v>
      </c>
      <c r="H820" s="307">
        <f t="shared" ca="1" si="360"/>
        <v>-123.10404648040389</v>
      </c>
      <c r="I820" s="304">
        <f t="shared" ca="1" si="361"/>
        <v>123.74357279992124</v>
      </c>
      <c r="J820" s="306">
        <f t="shared" ca="1" si="362"/>
        <v>780.60585379989482</v>
      </c>
      <c r="K820" s="307">
        <f t="shared" ca="1" si="363"/>
        <v>-6.8875148960363521</v>
      </c>
      <c r="L820" s="304">
        <f t="shared" ca="1" si="348"/>
        <v>780.63623849274757</v>
      </c>
      <c r="M820" s="306">
        <f t="shared" ca="1" si="364"/>
        <v>-1.4690848165604229</v>
      </c>
      <c r="N820" s="304">
        <f t="shared" ca="1" si="365"/>
        <v>-84.17235973566298</v>
      </c>
      <c r="P820" s="310">
        <f t="shared" ca="1" si="366"/>
        <v>23</v>
      </c>
      <c r="Q820" s="304">
        <f t="shared" ca="1" si="367"/>
        <v>0</v>
      </c>
      <c r="R820" s="306">
        <f t="shared" ca="1" si="368"/>
        <v>0</v>
      </c>
      <c r="S820" s="307">
        <f t="shared" ca="1" si="369"/>
        <v>8.0499999999999989</v>
      </c>
      <c r="T820" s="304">
        <f t="shared" ca="1" si="349"/>
        <v>78.970499999999987</v>
      </c>
      <c r="U820" s="311">
        <f t="shared" ca="1" si="350"/>
        <v>0</v>
      </c>
      <c r="V820" s="306">
        <f t="shared" ca="1" si="351"/>
        <v>1.225844011231761</v>
      </c>
      <c r="W820" s="304">
        <f t="shared" ca="1" si="352"/>
        <v>58.326081243670103</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2.5138619965197604</v>
      </c>
      <c r="AH820" s="304">
        <f t="shared" ca="1" si="376"/>
        <v>-7.2454375729907357</v>
      </c>
    </row>
    <row r="821" spans="1:34" x14ac:dyDescent="0.3">
      <c r="A821" s="347">
        <f t="shared" ca="1" si="354"/>
        <v>1E-4</v>
      </c>
      <c r="B821" s="304">
        <f t="shared" ca="1" si="355"/>
        <v>33.929800000001201</v>
      </c>
      <c r="D821" s="306">
        <f t="shared" ca="1" si="356"/>
        <v>-0.73567830629120967</v>
      </c>
      <c r="E821" s="307">
        <f t="shared" ca="1" si="357"/>
        <v>-2.6019698325569633</v>
      </c>
      <c r="F821" s="304">
        <f t="shared" ca="1" si="358"/>
        <v>2.7039729251388622</v>
      </c>
      <c r="G821" s="306">
        <f t="shared" ca="1" si="359"/>
        <v>12.564382227784446</v>
      </c>
      <c r="H821" s="307">
        <f t="shared" ca="1" si="360"/>
        <v>-123.10430667738716</v>
      </c>
      <c r="I821" s="304">
        <f t="shared" ca="1" si="361"/>
        <v>123.74382418240538</v>
      </c>
      <c r="J821" s="306">
        <f t="shared" ca="1" si="362"/>
        <v>780.60585379989482</v>
      </c>
      <c r="K821" s="307">
        <f t="shared" ca="1" si="363"/>
        <v>-6.899825313694242</v>
      </c>
      <c r="L821" s="304">
        <f t="shared" ca="1" si="348"/>
        <v>780.6363472040116</v>
      </c>
      <c r="M821" s="306">
        <f t="shared" ca="1" si="364"/>
        <v>-1.4690856215059762</v>
      </c>
      <c r="N821" s="304">
        <f t="shared" ca="1" si="365"/>
        <v>-84.17240585564592</v>
      </c>
      <c r="P821" s="310">
        <f t="shared" ca="1" si="366"/>
        <v>23</v>
      </c>
      <c r="Q821" s="304">
        <f t="shared" ca="1" si="367"/>
        <v>0</v>
      </c>
      <c r="R821" s="306">
        <f t="shared" ca="1" si="368"/>
        <v>0</v>
      </c>
      <c r="S821" s="307">
        <f t="shared" ca="1" si="369"/>
        <v>8.0499999999999989</v>
      </c>
      <c r="T821" s="304">
        <f t="shared" ca="1" si="349"/>
        <v>78.970499999999987</v>
      </c>
      <c r="U821" s="311">
        <f t="shared" ca="1" si="350"/>
        <v>0</v>
      </c>
      <c r="V821" s="306">
        <f t="shared" ca="1" si="351"/>
        <v>1.2258455202980456</v>
      </c>
      <c r="W821" s="304">
        <f t="shared" ca="1" si="352"/>
        <v>58.326390022529495</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2.5138244404133623</v>
      </c>
      <c r="AH821" s="304">
        <f t="shared" ca="1" si="376"/>
        <v>-7.2454759308906969</v>
      </c>
    </row>
    <row r="822" spans="1:34" x14ac:dyDescent="0.3">
      <c r="A822" s="347">
        <f t="shared" ca="1" si="354"/>
        <v>1E-4</v>
      </c>
      <c r="B822" s="304">
        <f t="shared" ca="1" si="355"/>
        <v>33.929900000001204</v>
      </c>
      <c r="D822" s="306">
        <f t="shared" ca="1" si="356"/>
        <v>-0.7356763988767594</v>
      </c>
      <c r="E822" s="307">
        <f t="shared" ca="1" si="357"/>
        <v>-2.601931080991144</v>
      </c>
      <c r="F822" s="304">
        <f t="shared" ca="1" si="358"/>
        <v>2.7039351164722905</v>
      </c>
      <c r="G822" s="306">
        <f t="shared" ca="1" si="359"/>
        <v>12.564308660144558</v>
      </c>
      <c r="H822" s="307">
        <f t="shared" ca="1" si="360"/>
        <v>-123.10456687049526</v>
      </c>
      <c r="I822" s="304">
        <f t="shared" ca="1" si="361"/>
        <v>123.74407556113393</v>
      </c>
      <c r="J822" s="306">
        <f t="shared" ca="1" si="362"/>
        <v>780.60585379989482</v>
      </c>
      <c r="K822" s="307">
        <f t="shared" ca="1" si="363"/>
        <v>-6.9121357573716358</v>
      </c>
      <c r="L822" s="304">
        <f t="shared" ca="1" si="348"/>
        <v>780.63645610962283</v>
      </c>
      <c r="M822" s="306">
        <f t="shared" ca="1" si="364"/>
        <v>-1.4690864264435464</v>
      </c>
      <c r="N822" s="304">
        <f t="shared" ca="1" si="365"/>
        <v>-84.172451975171469</v>
      </c>
      <c r="P822" s="310">
        <f t="shared" ca="1" si="366"/>
        <v>23</v>
      </c>
      <c r="Q822" s="304">
        <f t="shared" ca="1" si="367"/>
        <v>0</v>
      </c>
      <c r="R822" s="306">
        <f t="shared" ca="1" si="368"/>
        <v>0</v>
      </c>
      <c r="S822" s="307">
        <f t="shared" ca="1" si="369"/>
        <v>8.0499999999999989</v>
      </c>
      <c r="T822" s="304">
        <f t="shared" ca="1" si="349"/>
        <v>78.970499999999987</v>
      </c>
      <c r="U822" s="311">
        <f t="shared" ca="1" si="350"/>
        <v>0</v>
      </c>
      <c r="V822" s="306">
        <f t="shared" ca="1" si="351"/>
        <v>1.2258470293693777</v>
      </c>
      <c r="W822" s="304">
        <f t="shared" ca="1" si="352"/>
        <v>58.326698799153526</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2.5137868845703641</v>
      </c>
      <c r="AH822" s="304">
        <f t="shared" ca="1" si="376"/>
        <v>-7.2455142885129815</v>
      </c>
    </row>
    <row r="823" spans="1:34" x14ac:dyDescent="0.3">
      <c r="A823" s="347">
        <f t="shared" ca="1" si="354"/>
        <v>1E-4</v>
      </c>
      <c r="B823" s="304">
        <f t="shared" ca="1" si="355"/>
        <v>33.930000000001208</v>
      </c>
      <c r="D823" s="306">
        <f t="shared" ca="1" si="356"/>
        <v>-0.73567449142974906</v>
      </c>
      <c r="E823" s="307">
        <f t="shared" ca="1" si="357"/>
        <v>-2.6018923297058487</v>
      </c>
      <c r="F823" s="304">
        <f t="shared" ca="1" si="358"/>
        <v>2.7038973080948447</v>
      </c>
      <c r="G823" s="306">
        <f t="shared" ca="1" si="359"/>
        <v>12.564235092695416</v>
      </c>
      <c r="H823" s="307">
        <f t="shared" ca="1" si="360"/>
        <v>-123.10482705972824</v>
      </c>
      <c r="I823" s="304">
        <f t="shared" ca="1" si="361"/>
        <v>123.74432693610692</v>
      </c>
      <c r="J823" s="306">
        <f t="shared" ca="1" si="362"/>
        <v>780.60585379989482</v>
      </c>
      <c r="K823" s="307">
        <f t="shared" ca="1" si="363"/>
        <v>-6.9244462270681471</v>
      </c>
      <c r="L823" s="304">
        <f t="shared" ca="1" si="348"/>
        <v>780.63656520958216</v>
      </c>
      <c r="M823" s="306">
        <f t="shared" ca="1" si="364"/>
        <v>-1.4690872313731327</v>
      </c>
      <c r="N823" s="304">
        <f t="shared" ca="1" si="365"/>
        <v>-84.172498094239572</v>
      </c>
      <c r="P823" s="310">
        <f t="shared" ca="1" si="366"/>
        <v>23</v>
      </c>
      <c r="Q823" s="304">
        <f t="shared" ca="1" si="367"/>
        <v>0</v>
      </c>
      <c r="R823" s="306">
        <f t="shared" ca="1" si="368"/>
        <v>0</v>
      </c>
      <c r="S823" s="307">
        <f t="shared" ca="1" si="369"/>
        <v>8.0499999999999989</v>
      </c>
      <c r="T823" s="304">
        <f t="shared" ca="1" si="349"/>
        <v>78.970499999999987</v>
      </c>
      <c r="U823" s="311">
        <f t="shared" ca="1" si="350"/>
        <v>0</v>
      </c>
      <c r="V823" s="306">
        <f t="shared" ca="1" si="351"/>
        <v>1.225848538445758</v>
      </c>
      <c r="W823" s="304">
        <f t="shared" ca="1" si="352"/>
        <v>58.32700757354224</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2.513749328990774</v>
      </c>
      <c r="AH823" s="304">
        <f t="shared" ca="1" si="376"/>
        <v>-7.2455526458575816</v>
      </c>
    </row>
    <row r="824" spans="1:34" x14ac:dyDescent="0.3">
      <c r="A824" s="347">
        <f t="shared" ca="1" si="354"/>
        <v>1E-4</v>
      </c>
      <c r="B824" s="304">
        <f t="shared" ca="1" si="355"/>
        <v>33.930100000001211</v>
      </c>
      <c r="D824" s="306">
        <f t="shared" ca="1" si="356"/>
        <v>-0.73567258395018542</v>
      </c>
      <c r="E824" s="307">
        <f t="shared" ca="1" si="357"/>
        <v>-2.6018535787010713</v>
      </c>
      <c r="F824" s="304">
        <f t="shared" ca="1" si="358"/>
        <v>2.7038595000065211</v>
      </c>
      <c r="G824" s="306">
        <f t="shared" ca="1" si="359"/>
        <v>12.56416152543702</v>
      </c>
      <c r="H824" s="307">
        <f t="shared" ca="1" si="360"/>
        <v>-123.10508724508611</v>
      </c>
      <c r="I824" s="304">
        <f t="shared" ca="1" si="361"/>
        <v>123.74457830732437</v>
      </c>
      <c r="J824" s="306">
        <f t="shared" ca="1" si="362"/>
        <v>780.60585379989482</v>
      </c>
      <c r="K824" s="307">
        <f t="shared" ca="1" si="363"/>
        <v>-6.9367567227833877</v>
      </c>
      <c r="L824" s="304">
        <f t="shared" ca="1" si="348"/>
        <v>780.63667450389096</v>
      </c>
      <c r="M824" s="306">
        <f t="shared" ca="1" si="364"/>
        <v>-1.4690880362947361</v>
      </c>
      <c r="N824" s="304">
        <f t="shared" ca="1" si="365"/>
        <v>-84.172544212850283</v>
      </c>
      <c r="P824" s="310">
        <f t="shared" ca="1" si="366"/>
        <v>23</v>
      </c>
      <c r="Q824" s="304">
        <f t="shared" ca="1" si="367"/>
        <v>0</v>
      </c>
      <c r="R824" s="306">
        <f t="shared" ca="1" si="368"/>
        <v>0</v>
      </c>
      <c r="S824" s="307">
        <f t="shared" ca="1" si="369"/>
        <v>8.0499999999999989</v>
      </c>
      <c r="T824" s="304">
        <f t="shared" ca="1" si="349"/>
        <v>78.970499999999987</v>
      </c>
      <c r="U824" s="311">
        <f t="shared" ca="1" si="350"/>
        <v>0</v>
      </c>
      <c r="V824" s="306">
        <f t="shared" ca="1" si="351"/>
        <v>1.2258500475271858</v>
      </c>
      <c r="W824" s="304">
        <f t="shared" ca="1" si="352"/>
        <v>58.327316345695593</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2.5137117736745882</v>
      </c>
      <c r="AH824" s="304">
        <f t="shared" ca="1" si="376"/>
        <v>-7.2455910029245025</v>
      </c>
    </row>
    <row r="825" spans="1:34" x14ac:dyDescent="0.3">
      <c r="A825" s="347">
        <f t="shared" ca="1" si="354"/>
        <v>1E-4</v>
      </c>
      <c r="B825" s="304">
        <f t="shared" ca="1" si="355"/>
        <v>33.930200000001214</v>
      </c>
      <c r="D825" s="306">
        <f t="shared" ca="1" si="356"/>
        <v>-0.73567067643806316</v>
      </c>
      <c r="E825" s="307">
        <f t="shared" ca="1" si="357"/>
        <v>-2.601814827976817</v>
      </c>
      <c r="F825" s="304">
        <f t="shared" ca="1" si="358"/>
        <v>2.7038216922073226</v>
      </c>
      <c r="G825" s="306">
        <f t="shared" ca="1" si="359"/>
        <v>12.564087958369377</v>
      </c>
      <c r="H825" s="307">
        <f t="shared" ca="1" si="360"/>
        <v>-123.10534742656891</v>
      </c>
      <c r="I825" s="304">
        <f t="shared" ca="1" si="361"/>
        <v>123.74482967478633</v>
      </c>
      <c r="J825" s="306">
        <f t="shared" ca="1" si="362"/>
        <v>780.60585379989482</v>
      </c>
      <c r="K825" s="307">
        <f t="shared" ca="1" si="363"/>
        <v>-6.9490672445169706</v>
      </c>
      <c r="L825" s="304">
        <f t="shared" ca="1" si="348"/>
        <v>780.63678399255025</v>
      </c>
      <c r="M825" s="306">
        <f t="shared" ca="1" si="364"/>
        <v>-1.469088841208356</v>
      </c>
      <c r="N825" s="304">
        <f t="shared" ca="1" si="365"/>
        <v>-84.172590331003576</v>
      </c>
      <c r="P825" s="310">
        <f t="shared" ca="1" si="366"/>
        <v>23</v>
      </c>
      <c r="Q825" s="304">
        <f t="shared" ca="1" si="367"/>
        <v>0</v>
      </c>
      <c r="R825" s="306">
        <f t="shared" ca="1" si="368"/>
        <v>0</v>
      </c>
      <c r="S825" s="307">
        <f t="shared" ca="1" si="369"/>
        <v>8.0499999999999989</v>
      </c>
      <c r="T825" s="304">
        <f t="shared" ca="1" si="349"/>
        <v>78.970499999999987</v>
      </c>
      <c r="U825" s="311">
        <f t="shared" ca="1" si="350"/>
        <v>0</v>
      </c>
      <c r="V825" s="306">
        <f t="shared" ca="1" si="351"/>
        <v>1.2258515566136619</v>
      </c>
      <c r="W825" s="304">
        <f t="shared" ca="1" si="352"/>
        <v>58.327625115613614</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2.5136742186218122</v>
      </c>
      <c r="AH825" s="304">
        <f t="shared" ca="1" si="376"/>
        <v>-7.2456293597137389</v>
      </c>
    </row>
    <row r="826" spans="1:34" x14ac:dyDescent="0.3">
      <c r="A826" s="347">
        <f t="shared" ca="1" si="354"/>
        <v>1E-4</v>
      </c>
      <c r="B826" s="304">
        <f t="shared" ca="1" si="355"/>
        <v>33.930300000001218</v>
      </c>
      <c r="D826" s="306">
        <f t="shared" ca="1" si="356"/>
        <v>-0.73566876889338739</v>
      </c>
      <c r="E826" s="307">
        <f t="shared" ca="1" si="357"/>
        <v>-2.6017760775330823</v>
      </c>
      <c r="F826" s="304">
        <f t="shared" ca="1" si="358"/>
        <v>2.7037838846972484</v>
      </c>
      <c r="G826" s="306">
        <f t="shared" ca="1" si="359"/>
        <v>12.564014391492488</v>
      </c>
      <c r="H826" s="307">
        <f t="shared" ca="1" si="360"/>
        <v>-123.10560760417667</v>
      </c>
      <c r="I826" s="304">
        <f t="shared" ca="1" si="361"/>
        <v>123.7450810384928</v>
      </c>
      <c r="J826" s="306">
        <f t="shared" ca="1" si="362"/>
        <v>780.60585379989482</v>
      </c>
      <c r="K826" s="307">
        <f t="shared" ca="1" si="363"/>
        <v>-6.9613777922685074</v>
      </c>
      <c r="L826" s="304">
        <f t="shared" ca="1" si="348"/>
        <v>780.63689367556117</v>
      </c>
      <c r="M826" s="306">
        <f t="shared" ca="1" si="364"/>
        <v>-1.4690896461139931</v>
      </c>
      <c r="N826" s="304">
        <f t="shared" ca="1" si="365"/>
        <v>-84.172636448699478</v>
      </c>
      <c r="P826" s="310">
        <f t="shared" ca="1" si="366"/>
        <v>23</v>
      </c>
      <c r="Q826" s="304">
        <f t="shared" ca="1" si="367"/>
        <v>0</v>
      </c>
      <c r="R826" s="306">
        <f t="shared" ca="1" si="368"/>
        <v>0</v>
      </c>
      <c r="S826" s="307">
        <f t="shared" ca="1" si="369"/>
        <v>8.0499999999999989</v>
      </c>
      <c r="T826" s="304">
        <f t="shared" ca="1" si="349"/>
        <v>78.970499999999987</v>
      </c>
      <c r="U826" s="311">
        <f t="shared" ca="1" si="350"/>
        <v>0</v>
      </c>
      <c r="V826" s="306">
        <f t="shared" ca="1" si="351"/>
        <v>1.2258530657051856</v>
      </c>
      <c r="W826" s="304">
        <f t="shared" ca="1" si="352"/>
        <v>58.327933883296261</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2.5136366638324441</v>
      </c>
      <c r="AH826" s="304">
        <f t="shared" ca="1" si="376"/>
        <v>-7.2456677162252943</v>
      </c>
    </row>
    <row r="827" spans="1:34" x14ac:dyDescent="0.3">
      <c r="A827" s="347">
        <f t="shared" ca="1" si="354"/>
        <v>1E-4</v>
      </c>
      <c r="B827" s="304">
        <f t="shared" ca="1" si="355"/>
        <v>33.930400000001221</v>
      </c>
      <c r="D827" s="306">
        <f t="shared" ca="1" si="356"/>
        <v>-0.73566686131615633</v>
      </c>
      <c r="E827" s="307">
        <f t="shared" ca="1" si="357"/>
        <v>-2.6017373273698716</v>
      </c>
      <c r="F827" s="304">
        <f t="shared" ca="1" si="358"/>
        <v>2.7037460774763016</v>
      </c>
      <c r="G827" s="306">
        <f t="shared" ca="1" si="359"/>
        <v>12.563940824806357</v>
      </c>
      <c r="H827" s="307">
        <f t="shared" ca="1" si="360"/>
        <v>-123.10586777790941</v>
      </c>
      <c r="I827" s="304">
        <f t="shared" ca="1" si="361"/>
        <v>123.74533239844382</v>
      </c>
      <c r="J827" s="306">
        <f t="shared" ca="1" si="362"/>
        <v>780.60585379989482</v>
      </c>
      <c r="K827" s="307">
        <f t="shared" ca="1" si="363"/>
        <v>-6.9736883660376119</v>
      </c>
      <c r="L827" s="304">
        <f t="shared" ca="1" si="348"/>
        <v>780.63700355292497</v>
      </c>
      <c r="M827" s="306">
        <f t="shared" ca="1" si="364"/>
        <v>-1.4690904510116469</v>
      </c>
      <c r="N827" s="304">
        <f t="shared" ca="1" si="365"/>
        <v>-84.17268256593799</v>
      </c>
      <c r="P827" s="310">
        <f t="shared" ca="1" si="366"/>
        <v>23</v>
      </c>
      <c r="Q827" s="304">
        <f t="shared" ca="1" si="367"/>
        <v>0</v>
      </c>
      <c r="R827" s="306">
        <f t="shared" ca="1" si="368"/>
        <v>0</v>
      </c>
      <c r="S827" s="307">
        <f t="shared" ca="1" si="369"/>
        <v>8.0499999999999989</v>
      </c>
      <c r="T827" s="304">
        <f t="shared" ca="1" si="349"/>
        <v>78.970499999999987</v>
      </c>
      <c r="U827" s="311">
        <f t="shared" ca="1" si="350"/>
        <v>0</v>
      </c>
      <c r="V827" s="306">
        <f t="shared" ca="1" si="351"/>
        <v>1.2258545748017573</v>
      </c>
      <c r="W827" s="304">
        <f t="shared" ca="1" si="352"/>
        <v>58.328242648743576</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2.5135991093064867</v>
      </c>
      <c r="AH827" s="304">
        <f t="shared" ca="1" si="376"/>
        <v>-7.2457060724591642</v>
      </c>
    </row>
    <row r="828" spans="1:34" x14ac:dyDescent="0.3">
      <c r="A828" s="347">
        <f t="shared" ca="1" si="354"/>
        <v>1E-4</v>
      </c>
      <c r="B828" s="304">
        <f t="shared" ca="1" si="355"/>
        <v>33.930500000001224</v>
      </c>
      <c r="D828" s="306">
        <f t="shared" ca="1" si="356"/>
        <v>-0.73566495370637319</v>
      </c>
      <c r="E828" s="307">
        <f t="shared" ca="1" si="357"/>
        <v>-2.6016985774871824</v>
      </c>
      <c r="F828" s="304">
        <f t="shared" ca="1" si="358"/>
        <v>2.7037082705444813</v>
      </c>
      <c r="G828" s="306">
        <f t="shared" ca="1" si="359"/>
        <v>12.563867258310987</v>
      </c>
      <c r="H828" s="307">
        <f t="shared" ca="1" si="360"/>
        <v>-123.10612794776716</v>
      </c>
      <c r="I828" s="304">
        <f t="shared" ca="1" si="361"/>
        <v>123.74558375463941</v>
      </c>
      <c r="J828" s="306">
        <f t="shared" ca="1" si="362"/>
        <v>780.60585379989482</v>
      </c>
      <c r="K828" s="307">
        <f t="shared" ca="1" si="363"/>
        <v>-6.9859989658238959</v>
      </c>
      <c r="L828" s="304">
        <f t="shared" ca="1" si="348"/>
        <v>780.63711362464267</v>
      </c>
      <c r="M828" s="306">
        <f t="shared" ca="1" si="364"/>
        <v>-1.4690912559013183</v>
      </c>
      <c r="N828" s="304">
        <f t="shared" ca="1" si="365"/>
        <v>-84.172728682719139</v>
      </c>
      <c r="P828" s="310">
        <f t="shared" ca="1" si="366"/>
        <v>23</v>
      </c>
      <c r="Q828" s="304">
        <f t="shared" ca="1" si="367"/>
        <v>0</v>
      </c>
      <c r="R828" s="306">
        <f t="shared" ca="1" si="368"/>
        <v>0</v>
      </c>
      <c r="S828" s="307">
        <f t="shared" ca="1" si="369"/>
        <v>8.0499999999999989</v>
      </c>
      <c r="T828" s="304">
        <f t="shared" ca="1" si="349"/>
        <v>78.970499999999987</v>
      </c>
      <c r="U828" s="311">
        <f t="shared" ca="1" si="350"/>
        <v>0</v>
      </c>
      <c r="V828" s="306">
        <f t="shared" ca="1" si="351"/>
        <v>1.2258560839033767</v>
      </c>
      <c r="W828" s="304">
        <f t="shared" ca="1" si="352"/>
        <v>58.328551411955502</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2.5135615550439345</v>
      </c>
      <c r="AH828" s="304">
        <f t="shared" ca="1" si="376"/>
        <v>-7.2457444284153523</v>
      </c>
    </row>
    <row r="829" spans="1:34" x14ac:dyDescent="0.3">
      <c r="A829" s="347">
        <f t="shared" ca="1" si="354"/>
        <v>1E-4</v>
      </c>
      <c r="B829" s="304">
        <f t="shared" ca="1" si="355"/>
        <v>33.930600000001228</v>
      </c>
      <c r="D829" s="306">
        <f t="shared" ca="1" si="356"/>
        <v>-0.73566304606403421</v>
      </c>
      <c r="E829" s="307">
        <f t="shared" ca="1" si="357"/>
        <v>-2.6016598278850189</v>
      </c>
      <c r="F829" s="304">
        <f t="shared" ca="1" si="358"/>
        <v>2.7036704639017901</v>
      </c>
      <c r="G829" s="306">
        <f t="shared" ca="1" si="359"/>
        <v>12.56379369200638</v>
      </c>
      <c r="H829" s="307">
        <f t="shared" ca="1" si="360"/>
        <v>-123.10638811374996</v>
      </c>
      <c r="I829" s="304">
        <f t="shared" ca="1" si="361"/>
        <v>123.74583510707961</v>
      </c>
      <c r="J829" s="306">
        <f t="shared" ca="1" si="362"/>
        <v>780.60585379989482</v>
      </c>
      <c r="K829" s="307">
        <f t="shared" ca="1" si="363"/>
        <v>-6.9983095916269722</v>
      </c>
      <c r="L829" s="304">
        <f t="shared" ca="1" si="348"/>
        <v>780.63722389071552</v>
      </c>
      <c r="M829" s="306">
        <f t="shared" ca="1" si="364"/>
        <v>-1.4690920607830067</v>
      </c>
      <c r="N829" s="304">
        <f t="shared" ca="1" si="365"/>
        <v>-84.172774799042884</v>
      </c>
      <c r="P829" s="310">
        <f t="shared" ca="1" si="366"/>
        <v>23</v>
      </c>
      <c r="Q829" s="304">
        <f t="shared" ca="1" si="367"/>
        <v>0</v>
      </c>
      <c r="R829" s="306">
        <f t="shared" ca="1" si="368"/>
        <v>0</v>
      </c>
      <c r="S829" s="307">
        <f t="shared" ca="1" si="369"/>
        <v>8.0499999999999989</v>
      </c>
      <c r="T829" s="304">
        <f t="shared" ca="1" si="349"/>
        <v>78.970499999999987</v>
      </c>
      <c r="U829" s="311">
        <f t="shared" ca="1" si="350"/>
        <v>0</v>
      </c>
      <c r="V829" s="306">
        <f t="shared" ca="1" si="351"/>
        <v>1.2258575930100439</v>
      </c>
      <c r="W829" s="304">
        <f t="shared" ca="1" si="352"/>
        <v>58.328860172932067</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2.513524001044801</v>
      </c>
      <c r="AH829" s="304">
        <f t="shared" ca="1" si="376"/>
        <v>-7.2457827840938522</v>
      </c>
    </row>
    <row r="830" spans="1:34" x14ac:dyDescent="0.3">
      <c r="A830" s="347">
        <f t="shared" ca="1" si="354"/>
        <v>1E-4</v>
      </c>
      <c r="B830" s="304">
        <f t="shared" ca="1" si="355"/>
        <v>33.930700000001231</v>
      </c>
      <c r="D830" s="306">
        <f t="shared" ca="1" si="356"/>
        <v>-0.73566113838914471</v>
      </c>
      <c r="E830" s="307">
        <f t="shared" ca="1" si="357"/>
        <v>-2.6016210785633795</v>
      </c>
      <c r="F830" s="304">
        <f t="shared" ca="1" si="358"/>
        <v>2.7036326575482281</v>
      </c>
      <c r="G830" s="306">
        <f t="shared" ca="1" si="359"/>
        <v>12.563720125892541</v>
      </c>
      <c r="H830" s="307">
        <f t="shared" ca="1" si="360"/>
        <v>-123.10664827585781</v>
      </c>
      <c r="I830" s="304">
        <f t="shared" ca="1" si="361"/>
        <v>123.74608645576441</v>
      </c>
      <c r="J830" s="306">
        <f t="shared" ca="1" si="362"/>
        <v>780.60585379989482</v>
      </c>
      <c r="K830" s="307">
        <f t="shared" ca="1" si="363"/>
        <v>-7.0106202434464526</v>
      </c>
      <c r="L830" s="304">
        <f t="shared" ca="1" si="348"/>
        <v>780.63733435114455</v>
      </c>
      <c r="M830" s="306">
        <f t="shared" ca="1" si="364"/>
        <v>-1.4690928656567126</v>
      </c>
      <c r="N830" s="304">
        <f t="shared" ca="1" si="365"/>
        <v>-84.172820914909281</v>
      </c>
      <c r="P830" s="310">
        <f t="shared" ca="1" si="366"/>
        <v>23</v>
      </c>
      <c r="Q830" s="304">
        <f t="shared" ca="1" si="367"/>
        <v>0</v>
      </c>
      <c r="R830" s="306">
        <f t="shared" ca="1" si="368"/>
        <v>0</v>
      </c>
      <c r="S830" s="307">
        <f t="shared" ca="1" si="369"/>
        <v>8.0499999999999989</v>
      </c>
      <c r="T830" s="304">
        <f t="shared" ca="1" si="349"/>
        <v>78.970499999999987</v>
      </c>
      <c r="U830" s="311">
        <f t="shared" ca="1" si="350"/>
        <v>0</v>
      </c>
      <c r="V830" s="306">
        <f t="shared" ca="1" si="351"/>
        <v>1.2258591021217589</v>
      </c>
      <c r="W830" s="304">
        <f t="shared" ca="1" si="352"/>
        <v>58.329168931673223</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2.5134864473090754</v>
      </c>
      <c r="AH830" s="304">
        <f t="shared" ca="1" si="376"/>
        <v>-7.2458211394946677</v>
      </c>
    </row>
    <row r="831" spans="1:34" x14ac:dyDescent="0.3">
      <c r="A831" s="347">
        <f t="shared" ca="1" si="354"/>
        <v>1E-4</v>
      </c>
      <c r="B831" s="304">
        <f t="shared" ca="1" si="355"/>
        <v>33.930800000001234</v>
      </c>
      <c r="D831" s="306">
        <f t="shared" ca="1" si="356"/>
        <v>-0.73565923068170214</v>
      </c>
      <c r="E831" s="307">
        <f t="shared" ca="1" si="357"/>
        <v>-2.6015823295222686</v>
      </c>
      <c r="F831" s="304">
        <f t="shared" ca="1" si="358"/>
        <v>2.7035948514837997</v>
      </c>
      <c r="G831" s="306">
        <f t="shared" ca="1" si="359"/>
        <v>12.563646559969472</v>
      </c>
      <c r="H831" s="307">
        <f t="shared" ca="1" si="360"/>
        <v>-123.10690843409076</v>
      </c>
      <c r="I831" s="304">
        <f t="shared" ca="1" si="361"/>
        <v>123.74633780069388</v>
      </c>
      <c r="J831" s="306">
        <f t="shared" ca="1" si="362"/>
        <v>780.60585379989482</v>
      </c>
      <c r="K831" s="307">
        <f t="shared" ca="1" si="363"/>
        <v>-7.02293092128195</v>
      </c>
      <c r="L831" s="304">
        <f t="shared" ca="1" si="348"/>
        <v>780.63744500593089</v>
      </c>
      <c r="M831" s="306">
        <f t="shared" ca="1" si="364"/>
        <v>-1.469093670522436</v>
      </c>
      <c r="N831" s="304">
        <f t="shared" ca="1" si="365"/>
        <v>-84.172867030318301</v>
      </c>
      <c r="P831" s="310">
        <f t="shared" ca="1" si="366"/>
        <v>23</v>
      </c>
      <c r="Q831" s="304">
        <f t="shared" ca="1" si="367"/>
        <v>0</v>
      </c>
      <c r="R831" s="306">
        <f t="shared" ca="1" si="368"/>
        <v>0</v>
      </c>
      <c r="S831" s="307">
        <f t="shared" ca="1" si="369"/>
        <v>8.0499999999999989</v>
      </c>
      <c r="T831" s="304">
        <f t="shared" ca="1" si="349"/>
        <v>78.970499999999987</v>
      </c>
      <c r="U831" s="311">
        <f t="shared" ca="1" si="350"/>
        <v>0</v>
      </c>
      <c r="V831" s="306">
        <f t="shared" ca="1" si="351"/>
        <v>1.2258606112385211</v>
      </c>
      <c r="W831" s="304">
        <f t="shared" ca="1" si="352"/>
        <v>58.32947768817899</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2.5134488938367694</v>
      </c>
      <c r="AH831" s="304">
        <f t="shared" ca="1" si="376"/>
        <v>-7.2458594946177923</v>
      </c>
    </row>
    <row r="832" spans="1:34" x14ac:dyDescent="0.3">
      <c r="A832" s="347">
        <f t="shared" ca="1" si="354"/>
        <v>1E-4</v>
      </c>
      <c r="B832" s="304">
        <f t="shared" ca="1" si="355"/>
        <v>33.930900000001238</v>
      </c>
      <c r="D832" s="306">
        <f t="shared" ca="1" si="356"/>
        <v>-0.73565732294170882</v>
      </c>
      <c r="E832" s="307">
        <f t="shared" ca="1" si="357"/>
        <v>-2.6015435807616836</v>
      </c>
      <c r="F832" s="304">
        <f t="shared" ca="1" si="358"/>
        <v>2.7035570457085023</v>
      </c>
      <c r="G832" s="306">
        <f t="shared" ca="1" si="359"/>
        <v>12.563572994237179</v>
      </c>
      <c r="H832" s="307">
        <f t="shared" ca="1" si="360"/>
        <v>-123.10716858844883</v>
      </c>
      <c r="I832" s="304">
        <f t="shared" ca="1" si="361"/>
        <v>123.74658914186801</v>
      </c>
      <c r="J832" s="306">
        <f t="shared" ca="1" si="362"/>
        <v>780.60585379989482</v>
      </c>
      <c r="K832" s="307">
        <f t="shared" ca="1" si="363"/>
        <v>-7.0352416251330769</v>
      </c>
      <c r="L832" s="304">
        <f t="shared" ca="1" si="348"/>
        <v>780.6375558550759</v>
      </c>
      <c r="M832" s="306">
        <f t="shared" ca="1" si="364"/>
        <v>-1.4690944753801769</v>
      </c>
      <c r="N832" s="304">
        <f t="shared" ca="1" si="365"/>
        <v>-84.172913145269959</v>
      </c>
      <c r="P832" s="310">
        <f t="shared" ca="1" si="366"/>
        <v>23</v>
      </c>
      <c r="Q832" s="304">
        <f t="shared" ca="1" si="367"/>
        <v>0</v>
      </c>
      <c r="R832" s="306">
        <f t="shared" ca="1" si="368"/>
        <v>0</v>
      </c>
      <c r="S832" s="307">
        <f t="shared" ca="1" si="369"/>
        <v>8.0499999999999989</v>
      </c>
      <c r="T832" s="304">
        <f t="shared" ca="1" si="349"/>
        <v>78.970499999999987</v>
      </c>
      <c r="U832" s="311">
        <f t="shared" ca="1" si="350"/>
        <v>0</v>
      </c>
      <c r="V832" s="306">
        <f t="shared" ca="1" si="351"/>
        <v>1.2258621203603313</v>
      </c>
      <c r="W832" s="304">
        <f t="shared" ca="1" si="352"/>
        <v>58.329786442449368</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2.5134113406278757</v>
      </c>
      <c r="AH832" s="304">
        <f t="shared" ca="1" si="376"/>
        <v>-7.2458978494632298</v>
      </c>
    </row>
    <row r="833" spans="1:34" x14ac:dyDescent="0.3">
      <c r="A833" s="347">
        <f t="shared" ca="1" si="354"/>
        <v>1E-4</v>
      </c>
      <c r="B833" s="304">
        <f t="shared" ca="1" si="355"/>
        <v>33.931000000001241</v>
      </c>
      <c r="D833" s="306">
        <f t="shared" ca="1" si="356"/>
        <v>-0.73565541516916588</v>
      </c>
      <c r="E833" s="307">
        <f t="shared" ca="1" si="357"/>
        <v>-2.6015048322816261</v>
      </c>
      <c r="F833" s="304">
        <f t="shared" ca="1" si="358"/>
        <v>2.7035192402223385</v>
      </c>
      <c r="G833" s="306">
        <f t="shared" ca="1" si="359"/>
        <v>12.563499428695662</v>
      </c>
      <c r="H833" s="307">
        <f t="shared" ca="1" si="360"/>
        <v>-123.10742873893206</v>
      </c>
      <c r="I833" s="304">
        <f t="shared" ca="1" si="361"/>
        <v>123.74684047928686</v>
      </c>
      <c r="J833" s="306">
        <f t="shared" ca="1" si="362"/>
        <v>780.60585379989482</v>
      </c>
      <c r="K833" s="307">
        <f t="shared" ca="1" si="363"/>
        <v>-7.0475523549994463</v>
      </c>
      <c r="L833" s="304">
        <f t="shared" ca="1" si="348"/>
        <v>780.63766689858051</v>
      </c>
      <c r="M833" s="306">
        <f t="shared" ca="1" si="364"/>
        <v>-1.4690952802299357</v>
      </c>
      <c r="N833" s="304">
        <f t="shared" ca="1" si="365"/>
        <v>-84.172959259764284</v>
      </c>
      <c r="P833" s="310">
        <f t="shared" ca="1" si="366"/>
        <v>23</v>
      </c>
      <c r="Q833" s="304">
        <f t="shared" ca="1" si="367"/>
        <v>0</v>
      </c>
      <c r="R833" s="306">
        <f t="shared" ca="1" si="368"/>
        <v>0</v>
      </c>
      <c r="S833" s="307">
        <f t="shared" ca="1" si="369"/>
        <v>8.0499999999999989</v>
      </c>
      <c r="T833" s="304">
        <f t="shared" ca="1" si="349"/>
        <v>78.970499999999987</v>
      </c>
      <c r="U833" s="311">
        <f t="shared" ca="1" si="350"/>
        <v>0</v>
      </c>
      <c r="V833" s="306">
        <f t="shared" ca="1" si="351"/>
        <v>1.225863629487189</v>
      </c>
      <c r="W833" s="304">
        <f t="shared" ca="1" si="352"/>
        <v>58.330095194484343</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2.5133737876824016</v>
      </c>
      <c r="AH833" s="304">
        <f t="shared" ca="1" si="376"/>
        <v>-7.2459362040309783</v>
      </c>
    </row>
    <row r="834" spans="1:34" x14ac:dyDescent="0.3">
      <c r="A834" s="347">
        <f t="shared" ca="1" si="354"/>
        <v>1E-4</v>
      </c>
      <c r="B834" s="304">
        <f t="shared" ca="1" si="355"/>
        <v>33.931100000001244</v>
      </c>
      <c r="D834" s="306">
        <f t="shared" ca="1" si="356"/>
        <v>-0.73565350736407187</v>
      </c>
      <c r="E834" s="307">
        <f t="shared" ca="1" si="357"/>
        <v>-2.601466084082098</v>
      </c>
      <c r="F834" s="304">
        <f t="shared" ca="1" si="358"/>
        <v>2.7034814350253096</v>
      </c>
      <c r="G834" s="306">
        <f t="shared" ca="1" si="359"/>
        <v>12.563425863344927</v>
      </c>
      <c r="H834" s="307">
        <f t="shared" ca="1" si="360"/>
        <v>-123.10768888554047</v>
      </c>
      <c r="I834" s="304">
        <f t="shared" ca="1" si="361"/>
        <v>123.74709181295044</v>
      </c>
      <c r="J834" s="306">
        <f t="shared" ca="1" si="362"/>
        <v>780.60585379989482</v>
      </c>
      <c r="K834" s="307">
        <f t="shared" ca="1" si="363"/>
        <v>-7.05986311088067</v>
      </c>
      <c r="L834" s="304">
        <f t="shared" ca="1" si="348"/>
        <v>780.63777813644595</v>
      </c>
      <c r="M834" s="306">
        <f t="shared" ca="1" si="364"/>
        <v>-1.4690960850717125</v>
      </c>
      <c r="N834" s="304">
        <f t="shared" ca="1" si="365"/>
        <v>-84.173005373801274</v>
      </c>
      <c r="P834" s="310">
        <f t="shared" ca="1" si="366"/>
        <v>23</v>
      </c>
      <c r="Q834" s="304">
        <f t="shared" ca="1" si="367"/>
        <v>0</v>
      </c>
      <c r="R834" s="306">
        <f t="shared" ca="1" si="368"/>
        <v>0</v>
      </c>
      <c r="S834" s="307">
        <f t="shared" ca="1" si="369"/>
        <v>8.0499999999999989</v>
      </c>
      <c r="T834" s="304">
        <f t="shared" ca="1" si="349"/>
        <v>78.970499999999987</v>
      </c>
      <c r="U834" s="311">
        <f t="shared" ca="1" si="350"/>
        <v>0</v>
      </c>
      <c r="V834" s="306">
        <f t="shared" ca="1" si="351"/>
        <v>1.225865138619094</v>
      </c>
      <c r="W834" s="304">
        <f t="shared" ca="1" si="352"/>
        <v>58.330403944283901</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2.5133362350003416</v>
      </c>
      <c r="AH834" s="304">
        <f t="shared" ca="1" si="376"/>
        <v>-7.2459745583210378</v>
      </c>
    </row>
    <row r="835" spans="1:34" x14ac:dyDescent="0.3">
      <c r="A835" s="347">
        <f t="shared" ca="1" si="354"/>
        <v>1E-4</v>
      </c>
      <c r="B835" s="304">
        <f t="shared" ca="1" si="355"/>
        <v>33.931200000001247</v>
      </c>
      <c r="D835" s="306">
        <f t="shared" ca="1" si="356"/>
        <v>-0.73565159952642789</v>
      </c>
      <c r="E835" s="307">
        <f t="shared" ca="1" si="357"/>
        <v>-2.6014273361630993</v>
      </c>
      <c r="F835" s="304">
        <f t="shared" ca="1" si="358"/>
        <v>2.7034436301174156</v>
      </c>
      <c r="G835" s="306">
        <f t="shared" ca="1" si="359"/>
        <v>12.563352298184974</v>
      </c>
      <c r="H835" s="307">
        <f t="shared" ca="1" si="360"/>
        <v>-123.10794902827409</v>
      </c>
      <c r="I835" s="304">
        <f t="shared" ca="1" si="361"/>
        <v>123.7473431428588</v>
      </c>
      <c r="J835" s="306">
        <f t="shared" ca="1" si="362"/>
        <v>780.60585379989482</v>
      </c>
      <c r="K835" s="307">
        <f t="shared" ca="1" si="363"/>
        <v>-7.0721738927763607</v>
      </c>
      <c r="L835" s="304">
        <f t="shared" ca="1" si="348"/>
        <v>780.63788956867347</v>
      </c>
      <c r="M835" s="306">
        <f t="shared" ca="1" si="364"/>
        <v>-1.4690968899055072</v>
      </c>
      <c r="N835" s="304">
        <f t="shared" ca="1" si="365"/>
        <v>-84.173051487380917</v>
      </c>
      <c r="P835" s="310">
        <f t="shared" ca="1" si="366"/>
        <v>23</v>
      </c>
      <c r="Q835" s="304">
        <f t="shared" ca="1" si="367"/>
        <v>0</v>
      </c>
      <c r="R835" s="306">
        <f t="shared" ca="1" si="368"/>
        <v>0</v>
      </c>
      <c r="S835" s="307">
        <f t="shared" ca="1" si="369"/>
        <v>8.0499999999999989</v>
      </c>
      <c r="T835" s="304">
        <f t="shared" ca="1" si="349"/>
        <v>78.970499999999987</v>
      </c>
      <c r="U835" s="311">
        <f t="shared" ca="1" si="350"/>
        <v>0</v>
      </c>
      <c r="V835" s="306">
        <f t="shared" ca="1" si="351"/>
        <v>1.2258666477560467</v>
      </c>
      <c r="W835" s="304">
        <f t="shared" ca="1" si="352"/>
        <v>58.330712691848056</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2.5132986825817047</v>
      </c>
      <c r="AH835" s="304">
        <f t="shared" ca="1" si="376"/>
        <v>-7.2460129123334047</v>
      </c>
    </row>
    <row r="836" spans="1:34" x14ac:dyDescent="0.3">
      <c r="A836" s="347">
        <f t="shared" ca="1" si="354"/>
        <v>1E-4</v>
      </c>
      <c r="B836" s="304">
        <f t="shared" ca="1" si="355"/>
        <v>33.931300000001251</v>
      </c>
      <c r="D836" s="306">
        <f t="shared" ca="1" si="356"/>
        <v>-0.73564969165623595</v>
      </c>
      <c r="E836" s="307">
        <f t="shared" ca="1" si="357"/>
        <v>-2.6013885885246291</v>
      </c>
      <c r="F836" s="304">
        <f t="shared" ca="1" si="358"/>
        <v>2.703405825498657</v>
      </c>
      <c r="G836" s="306">
        <f t="shared" ca="1" si="359"/>
        <v>12.563278733215808</v>
      </c>
      <c r="H836" s="307">
        <f t="shared" ca="1" si="360"/>
        <v>-123.10820916713294</v>
      </c>
      <c r="I836" s="304">
        <f t="shared" ca="1" si="361"/>
        <v>123.7475944690119</v>
      </c>
      <c r="J836" s="306">
        <f t="shared" ca="1" si="362"/>
        <v>780.60585379989482</v>
      </c>
      <c r="K836" s="307">
        <f t="shared" ca="1" si="363"/>
        <v>-7.0844847006861311</v>
      </c>
      <c r="L836" s="304">
        <f t="shared" ref="L836:L899" ca="1" si="377">SQRT(pos_x^2+pos_z^2)</f>
        <v>780.638001195264</v>
      </c>
      <c r="M836" s="306">
        <f t="shared" ca="1" si="364"/>
        <v>-1.4690976947313199</v>
      </c>
      <c r="N836" s="304">
        <f t="shared" ca="1" si="365"/>
        <v>-84.173097600503226</v>
      </c>
      <c r="P836" s="310">
        <f t="shared" ca="1" si="366"/>
        <v>23</v>
      </c>
      <c r="Q836" s="304">
        <f t="shared" ca="1" si="367"/>
        <v>0</v>
      </c>
      <c r="R836" s="306">
        <f t="shared" ca="1" si="368"/>
        <v>0</v>
      </c>
      <c r="S836" s="307">
        <f t="shared" ca="1" si="369"/>
        <v>8.0499999999999989</v>
      </c>
      <c r="T836" s="304">
        <f t="shared" ref="T836:T899" ca="1" si="378">m*g</f>
        <v>78.970499999999987</v>
      </c>
      <c r="U836" s="311">
        <f t="shared" ref="U836:U899" ca="1" si="379">IF(pos_xz&lt;L_rampe,Poids*COS(Beta),0)</f>
        <v>0</v>
      </c>
      <c r="V836" s="306">
        <f t="shared" ref="V836:V899" ca="1" si="380">Rho_moyen*(20000-Alt_rampe-pos_z)/(20000+Alt_rampe+pos_z)</f>
        <v>1.225868156898047</v>
      </c>
      <c r="W836" s="304">
        <f t="shared" ref="W836:W899" ca="1" si="381">1/2*Rho*Sref*Cx*vit_xz^2</f>
        <v>58.33102143717678</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2.5132611304264838</v>
      </c>
      <c r="AH836" s="304">
        <f t="shared" ca="1" si="376"/>
        <v>-7.2460512660680827</v>
      </c>
    </row>
    <row r="837" spans="1:34" x14ac:dyDescent="0.3">
      <c r="A837" s="347">
        <f t="shared" ref="A837:A900" ca="1" si="383">IF(B836+0.01&lt;=T_ini+ROUNDUP(Temps_fin_propu,0), 0.01, IF(K836&gt;0, 0.1, 0.0001))</f>
        <v>1E-4</v>
      </c>
      <c r="B837" s="304">
        <f t="shared" ref="B837:B900" ca="1" si="384">B836+pas</f>
        <v>33.931400000001254</v>
      </c>
      <c r="D837" s="306">
        <f t="shared" ref="D837:D900" ca="1" si="385">IF(AND(L836&lt;L_rampe,Poussee&lt;Poids*SIN(M836)),0,(-W836+Poussee)/m*COS(M836)-U836/m*SIN(M836))</f>
        <v>-0.73564778375349715</v>
      </c>
      <c r="E837" s="307">
        <f t="shared" ref="E837:E900" ca="1" si="386">IF(AND(L836&lt;L_rampe,Poussee&lt;Poids*SIN(M836)),0,(-W836+Poussee)/m*SIN(M836)+U836/m*COS(M836)-Poids/m)</f>
        <v>-2.6013498411666918</v>
      </c>
      <c r="F837" s="304">
        <f t="shared" ref="F837:F900" ca="1" si="387">SQRT(acc_x^2+acc_z^2)</f>
        <v>2.7033680211690387</v>
      </c>
      <c r="G837" s="306">
        <f t="shared" ref="G837:G900" ca="1" si="388">G836+acc_x*pas</f>
        <v>12.563205168437433</v>
      </c>
      <c r="H837" s="307">
        <f t="shared" ref="H837:H900" ca="1" si="389">H836+acc_z*pas</f>
        <v>-123.10846930211706</v>
      </c>
      <c r="I837" s="304">
        <f t="shared" ref="I837:I900" ca="1" si="390">SQRT(vit_x^2+vit_z^2)</f>
        <v>123.74784579140984</v>
      </c>
      <c r="J837" s="306">
        <f t="shared" ref="J837:J900" ca="1" si="391">J836+0.5*(vit_x+G836)*pas*(K836&gt;=0)</f>
        <v>780.60585379989482</v>
      </c>
      <c r="K837" s="307">
        <f t="shared" ref="K837:K900" ca="1" si="392">K836+0.5*(vit_z+H836)*pas</f>
        <v>-7.0967955346095932</v>
      </c>
      <c r="L837" s="304">
        <f t="shared" ca="1" si="377"/>
        <v>780.63811301621877</v>
      </c>
      <c r="M837" s="306">
        <f t="shared" ref="M837:M900" ca="1" si="393">IF(AND(L836&gt;L_rampe,G837&gt;0),ATAN2(G837,H837),$M$4)</f>
        <v>-1.4690984995491509</v>
      </c>
      <c r="N837" s="304">
        <f t="shared" ref="N837:N900" ca="1" si="394">DEGREES(Beta)</f>
        <v>-84.17314371316823</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8.0499999999999989</v>
      </c>
      <c r="T837" s="304">
        <f t="shared" ca="1" si="378"/>
        <v>78.970499999999987</v>
      </c>
      <c r="U837" s="311">
        <f t="shared" ca="1" si="379"/>
        <v>0</v>
      </c>
      <c r="V837" s="306">
        <f t="shared" ca="1" si="380"/>
        <v>1.225869666045095</v>
      </c>
      <c r="W837" s="304">
        <f t="shared" ca="1" si="381"/>
        <v>58.331330180270093</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2.5132235785346877</v>
      </c>
      <c r="AH837" s="304">
        <f t="shared" ref="AH837:AH900" ca="1" si="405">IF(AND(L836&lt;L_rampe,Poussee&lt;Poids*SIN(M836)), g*SIN(M836), (-W836+Poussee)/m)</f>
        <v>-7.2460896195250664</v>
      </c>
    </row>
    <row r="838" spans="1:34" x14ac:dyDescent="0.3">
      <c r="A838" s="347">
        <f t="shared" ca="1" si="383"/>
        <v>1E-4</v>
      </c>
      <c r="B838" s="304">
        <f t="shared" ca="1" si="384"/>
        <v>33.931500000001257</v>
      </c>
      <c r="D838" s="306">
        <f t="shared" ca="1" si="385"/>
        <v>-0.73564587581821039</v>
      </c>
      <c r="E838" s="307">
        <f t="shared" ca="1" si="386"/>
        <v>-2.601311094089283</v>
      </c>
      <c r="F838" s="304">
        <f t="shared" ca="1" si="387"/>
        <v>2.7033302171285558</v>
      </c>
      <c r="G838" s="306">
        <f t="shared" ca="1" si="388"/>
        <v>12.56313160384985</v>
      </c>
      <c r="H838" s="307">
        <f t="shared" ca="1" si="389"/>
        <v>-123.10872943322647</v>
      </c>
      <c r="I838" s="304">
        <f t="shared" ca="1" si="390"/>
        <v>123.74809711005261</v>
      </c>
      <c r="J838" s="306">
        <f t="shared" ca="1" si="391"/>
        <v>780.60585379989482</v>
      </c>
      <c r="K838" s="307">
        <f t="shared" ca="1" si="392"/>
        <v>-7.1091063945463606</v>
      </c>
      <c r="L838" s="304">
        <f t="shared" ca="1" si="377"/>
        <v>780.63822503153892</v>
      </c>
      <c r="M838" s="306">
        <f t="shared" ca="1" si="393"/>
        <v>-1.4690993043590004</v>
      </c>
      <c r="N838" s="304">
        <f t="shared" ca="1" si="394"/>
        <v>-84.1731898253759</v>
      </c>
      <c r="P838" s="310">
        <f t="shared" ca="1" si="395"/>
        <v>23</v>
      </c>
      <c r="Q838" s="304">
        <f t="shared" ca="1" si="396"/>
        <v>0</v>
      </c>
      <c r="R838" s="306">
        <f t="shared" ca="1" si="397"/>
        <v>0</v>
      </c>
      <c r="S838" s="307">
        <f t="shared" ca="1" si="398"/>
        <v>8.0499999999999989</v>
      </c>
      <c r="T838" s="304">
        <f t="shared" ca="1" si="378"/>
        <v>78.970499999999987</v>
      </c>
      <c r="U838" s="311">
        <f t="shared" ca="1" si="379"/>
        <v>0</v>
      </c>
      <c r="V838" s="306">
        <f t="shared" ca="1" si="380"/>
        <v>1.2258711751971902</v>
      </c>
      <c r="W838" s="304">
        <f t="shared" ca="1" si="381"/>
        <v>58.331638921127968</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2.5131860269063084</v>
      </c>
      <c r="AH838" s="304">
        <f t="shared" ca="1" si="405"/>
        <v>-7.2461279727043602</v>
      </c>
    </row>
    <row r="839" spans="1:34" x14ac:dyDescent="0.3">
      <c r="A839" s="347">
        <f t="shared" ca="1" si="383"/>
        <v>1E-4</v>
      </c>
      <c r="B839" s="304">
        <f t="shared" ca="1" si="384"/>
        <v>33.931600000001261</v>
      </c>
      <c r="D839" s="306">
        <f t="shared" ca="1" si="385"/>
        <v>-0.73564396785037656</v>
      </c>
      <c r="E839" s="307">
        <f t="shared" ca="1" si="386"/>
        <v>-2.6012723472924071</v>
      </c>
      <c r="F839" s="304">
        <f t="shared" ca="1" si="387"/>
        <v>2.7032924133772127</v>
      </c>
      <c r="G839" s="306">
        <f t="shared" ca="1" si="388"/>
        <v>12.563058039453065</v>
      </c>
      <c r="H839" s="307">
        <f t="shared" ca="1" si="389"/>
        <v>-123.1089895604612</v>
      </c>
      <c r="I839" s="304">
        <f t="shared" ca="1" si="390"/>
        <v>123.74834842494023</v>
      </c>
      <c r="J839" s="306">
        <f t="shared" ca="1" si="391"/>
        <v>780.60585379989482</v>
      </c>
      <c r="K839" s="307">
        <f t="shared" ca="1" si="392"/>
        <v>-7.1214172804960452</v>
      </c>
      <c r="L839" s="304">
        <f t="shared" ca="1" si="377"/>
        <v>780.63833724122571</v>
      </c>
      <c r="M839" s="306">
        <f t="shared" ca="1" si="393"/>
        <v>-1.4691001091608684</v>
      </c>
      <c r="N839" s="304">
        <f t="shared" ca="1" si="394"/>
        <v>-84.173235937126293</v>
      </c>
      <c r="P839" s="310">
        <f t="shared" ca="1" si="395"/>
        <v>23</v>
      </c>
      <c r="Q839" s="304">
        <f t="shared" ca="1" si="396"/>
        <v>0</v>
      </c>
      <c r="R839" s="306">
        <f t="shared" ca="1" si="397"/>
        <v>0</v>
      </c>
      <c r="S839" s="307">
        <f t="shared" ca="1" si="398"/>
        <v>8.0499999999999989</v>
      </c>
      <c r="T839" s="304">
        <f t="shared" ca="1" si="378"/>
        <v>78.970499999999987</v>
      </c>
      <c r="U839" s="311">
        <f t="shared" ca="1" si="379"/>
        <v>0</v>
      </c>
      <c r="V839" s="306">
        <f t="shared" ca="1" si="380"/>
        <v>1.2258726843543333</v>
      </c>
      <c r="W839" s="304">
        <f t="shared" ca="1" si="381"/>
        <v>58.331947659750405</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2.5131484755413522</v>
      </c>
      <c r="AH839" s="304">
        <f t="shared" ca="1" si="405"/>
        <v>-7.2461663256059596</v>
      </c>
    </row>
    <row r="840" spans="1:34" x14ac:dyDescent="0.3">
      <c r="A840" s="347">
        <f t="shared" ca="1" si="383"/>
        <v>1E-4</v>
      </c>
      <c r="B840" s="304">
        <f t="shared" ca="1" si="384"/>
        <v>33.931700000001264</v>
      </c>
      <c r="D840" s="306">
        <f t="shared" ca="1" si="385"/>
        <v>-0.73564205984999587</v>
      </c>
      <c r="E840" s="307">
        <f t="shared" ca="1" si="386"/>
        <v>-2.6012336007760641</v>
      </c>
      <c r="F840" s="304">
        <f t="shared" ca="1" si="387"/>
        <v>2.7032546099150103</v>
      </c>
      <c r="G840" s="306">
        <f t="shared" ca="1" si="388"/>
        <v>12.562984475247079</v>
      </c>
      <c r="H840" s="307">
        <f t="shared" ca="1" si="389"/>
        <v>-123.10924968382128</v>
      </c>
      <c r="I840" s="304">
        <f t="shared" ca="1" si="390"/>
        <v>123.74859973607276</v>
      </c>
      <c r="J840" s="306">
        <f t="shared" ca="1" si="391"/>
        <v>780.60585379989482</v>
      </c>
      <c r="K840" s="307">
        <f t="shared" ca="1" si="392"/>
        <v>-7.1337281924582596</v>
      </c>
      <c r="L840" s="304">
        <f t="shared" ca="1" si="377"/>
        <v>780.63844964528016</v>
      </c>
      <c r="M840" s="306">
        <f t="shared" ca="1" si="393"/>
        <v>-1.4691009139547548</v>
      </c>
      <c r="N840" s="304">
        <f t="shared" ca="1" si="394"/>
        <v>-84.173282048419352</v>
      </c>
      <c r="P840" s="310">
        <f t="shared" ca="1" si="395"/>
        <v>23</v>
      </c>
      <c r="Q840" s="304">
        <f t="shared" ca="1" si="396"/>
        <v>0</v>
      </c>
      <c r="R840" s="306">
        <f t="shared" ca="1" si="397"/>
        <v>0</v>
      </c>
      <c r="S840" s="307">
        <f t="shared" ca="1" si="398"/>
        <v>8.0499999999999989</v>
      </c>
      <c r="T840" s="304">
        <f t="shared" ca="1" si="378"/>
        <v>78.970499999999987</v>
      </c>
      <c r="U840" s="311">
        <f t="shared" ca="1" si="379"/>
        <v>0</v>
      </c>
      <c r="V840" s="306">
        <f t="shared" ca="1" si="380"/>
        <v>1.2258741935165229</v>
      </c>
      <c r="W840" s="304">
        <f t="shared" ca="1" si="381"/>
        <v>58.332256396137375</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2.5131109244398226</v>
      </c>
      <c r="AH840" s="304">
        <f t="shared" ca="1" si="405"/>
        <v>-7.2462046782298648</v>
      </c>
    </row>
    <row r="841" spans="1:34" x14ac:dyDescent="0.3">
      <c r="A841" s="347">
        <f t="shared" ca="1" si="383"/>
        <v>1E-4</v>
      </c>
      <c r="B841" s="304">
        <f t="shared" ca="1" si="384"/>
        <v>33.931800000001267</v>
      </c>
      <c r="D841" s="306">
        <f t="shared" ca="1" si="385"/>
        <v>-0.7356401518170711</v>
      </c>
      <c r="E841" s="307">
        <f t="shared" ca="1" si="386"/>
        <v>-2.6011948545402586</v>
      </c>
      <c r="F841" s="304">
        <f t="shared" ca="1" si="387"/>
        <v>2.7032168067419526</v>
      </c>
      <c r="G841" s="306">
        <f t="shared" ca="1" si="388"/>
        <v>12.562910911231898</v>
      </c>
      <c r="H841" s="307">
        <f t="shared" ca="1" si="389"/>
        <v>-123.10950980330674</v>
      </c>
      <c r="I841" s="304">
        <f t="shared" ca="1" si="390"/>
        <v>123.7488510434502</v>
      </c>
      <c r="J841" s="306">
        <f t="shared" ca="1" si="391"/>
        <v>780.60585379989482</v>
      </c>
      <c r="K841" s="307">
        <f t="shared" ca="1" si="392"/>
        <v>-7.1460391304326158</v>
      </c>
      <c r="L841" s="304">
        <f t="shared" ca="1" si="377"/>
        <v>780.6385622437034</v>
      </c>
      <c r="M841" s="306">
        <f t="shared" ca="1" si="393"/>
        <v>-1.4691017187406601</v>
      </c>
      <c r="N841" s="304">
        <f t="shared" ca="1" si="394"/>
        <v>-84.173328159255135</v>
      </c>
      <c r="P841" s="310">
        <f t="shared" ca="1" si="395"/>
        <v>23</v>
      </c>
      <c r="Q841" s="304">
        <f t="shared" ca="1" si="396"/>
        <v>0</v>
      </c>
      <c r="R841" s="306">
        <f t="shared" ca="1" si="397"/>
        <v>0</v>
      </c>
      <c r="S841" s="307">
        <f t="shared" ca="1" si="398"/>
        <v>8.0499999999999989</v>
      </c>
      <c r="T841" s="304">
        <f t="shared" ca="1" si="378"/>
        <v>78.970499999999987</v>
      </c>
      <c r="U841" s="311">
        <f t="shared" ca="1" si="379"/>
        <v>0</v>
      </c>
      <c r="V841" s="306">
        <f t="shared" ca="1" si="380"/>
        <v>1.2258757026837603</v>
      </c>
      <c r="W841" s="304">
        <f t="shared" ca="1" si="381"/>
        <v>58.332565130288891</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2.5130733736017197</v>
      </c>
      <c r="AH841" s="304">
        <f t="shared" ca="1" si="405"/>
        <v>-7.2462430305760721</v>
      </c>
    </row>
    <row r="842" spans="1:34" x14ac:dyDescent="0.3">
      <c r="A842" s="347">
        <f t="shared" ca="1" si="383"/>
        <v>1E-4</v>
      </c>
      <c r="B842" s="304">
        <f t="shared" ca="1" si="384"/>
        <v>33.931900000001271</v>
      </c>
      <c r="D842" s="306">
        <f t="shared" ca="1" si="385"/>
        <v>-0.73563824375160081</v>
      </c>
      <c r="E842" s="307">
        <f t="shared" ca="1" si="386"/>
        <v>-2.6011561085849868</v>
      </c>
      <c r="F842" s="304">
        <f t="shared" ca="1" si="387"/>
        <v>2.7031790038580374</v>
      </c>
      <c r="G842" s="306">
        <f t="shared" ca="1" si="388"/>
        <v>12.562837347407523</v>
      </c>
      <c r="H842" s="307">
        <f t="shared" ca="1" si="389"/>
        <v>-123.10976991891759</v>
      </c>
      <c r="I842" s="304">
        <f t="shared" ca="1" si="390"/>
        <v>123.74910234707258</v>
      </c>
      <c r="J842" s="306">
        <f t="shared" ca="1" si="391"/>
        <v>780.60585379989482</v>
      </c>
      <c r="K842" s="307">
        <f t="shared" ca="1" si="392"/>
        <v>-7.1583500944187275</v>
      </c>
      <c r="L842" s="304">
        <f t="shared" ca="1" si="377"/>
        <v>780.63867503649669</v>
      </c>
      <c r="M842" s="306">
        <f t="shared" ca="1" si="393"/>
        <v>-1.4691025235185842</v>
      </c>
      <c r="N842" s="304">
        <f t="shared" ca="1" si="394"/>
        <v>-84.173374269633641</v>
      </c>
      <c r="P842" s="310">
        <f t="shared" ca="1" si="395"/>
        <v>23</v>
      </c>
      <c r="Q842" s="304">
        <f t="shared" ca="1" si="396"/>
        <v>0</v>
      </c>
      <c r="R842" s="306">
        <f t="shared" ca="1" si="397"/>
        <v>0</v>
      </c>
      <c r="S842" s="307">
        <f t="shared" ca="1" si="398"/>
        <v>8.0499999999999989</v>
      </c>
      <c r="T842" s="304">
        <f t="shared" ca="1" si="378"/>
        <v>78.970499999999987</v>
      </c>
      <c r="U842" s="311">
        <f t="shared" ca="1" si="379"/>
        <v>0</v>
      </c>
      <c r="V842" s="306">
        <f t="shared" ca="1" si="380"/>
        <v>1.225877211856045</v>
      </c>
      <c r="W842" s="304">
        <f t="shared" ca="1" si="381"/>
        <v>58.332873862204941</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2.5130358230270451</v>
      </c>
      <c r="AH842" s="304">
        <f t="shared" ca="1" si="405"/>
        <v>-7.2462813826445833</v>
      </c>
    </row>
    <row r="843" spans="1:34" x14ac:dyDescent="0.3">
      <c r="A843" s="347">
        <f t="shared" ca="1" si="383"/>
        <v>1E-4</v>
      </c>
      <c r="B843" s="304">
        <f t="shared" ca="1" si="384"/>
        <v>33.932000000001274</v>
      </c>
      <c r="D843" s="306">
        <f t="shared" ca="1" si="385"/>
        <v>-0.73563633565358644</v>
      </c>
      <c r="E843" s="307">
        <f t="shared" ca="1" si="386"/>
        <v>-2.6011173629102515</v>
      </c>
      <c r="F843" s="304">
        <f t="shared" ca="1" si="387"/>
        <v>2.7031412012632665</v>
      </c>
      <c r="G843" s="306">
        <f t="shared" ca="1" si="388"/>
        <v>12.562763783773958</v>
      </c>
      <c r="H843" s="307">
        <f t="shared" ca="1" si="389"/>
        <v>-123.11003003065389</v>
      </c>
      <c r="I843" s="304">
        <f t="shared" ca="1" si="390"/>
        <v>123.74935364693994</v>
      </c>
      <c r="J843" s="306">
        <f t="shared" ca="1" si="391"/>
        <v>780.60585379989482</v>
      </c>
      <c r="K843" s="307">
        <f t="shared" ca="1" si="392"/>
        <v>-7.1706610844162064</v>
      </c>
      <c r="L843" s="304">
        <f t="shared" ca="1" si="377"/>
        <v>780.63878802366094</v>
      </c>
      <c r="M843" s="306">
        <f t="shared" ca="1" si="393"/>
        <v>-1.4691033282885271</v>
      </c>
      <c r="N843" s="304">
        <f t="shared" ca="1" si="394"/>
        <v>-84.173420379554841</v>
      </c>
      <c r="P843" s="310">
        <f t="shared" ca="1" si="395"/>
        <v>23</v>
      </c>
      <c r="Q843" s="304">
        <f t="shared" ca="1" si="396"/>
        <v>0</v>
      </c>
      <c r="R843" s="306">
        <f t="shared" ca="1" si="397"/>
        <v>0</v>
      </c>
      <c r="S843" s="307">
        <f t="shared" ca="1" si="398"/>
        <v>8.0499999999999989</v>
      </c>
      <c r="T843" s="304">
        <f t="shared" ca="1" si="378"/>
        <v>78.970499999999987</v>
      </c>
      <c r="U843" s="311">
        <f t="shared" ca="1" si="379"/>
        <v>0</v>
      </c>
      <c r="V843" s="306">
        <f t="shared" ca="1" si="380"/>
        <v>1.225878721033377</v>
      </c>
      <c r="W843" s="304">
        <f t="shared" ca="1" si="381"/>
        <v>58.33318259188556</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2.5129982727157962</v>
      </c>
      <c r="AH843" s="304">
        <f t="shared" ca="1" si="405"/>
        <v>-7.2463197344353976</v>
      </c>
    </row>
    <row r="844" spans="1:34" x14ac:dyDescent="0.3">
      <c r="A844" s="347">
        <f t="shared" ca="1" si="383"/>
        <v>1E-4</v>
      </c>
      <c r="B844" s="304">
        <f t="shared" ca="1" si="384"/>
        <v>33.932100000001277</v>
      </c>
      <c r="D844" s="306">
        <f t="shared" ca="1" si="385"/>
        <v>-0.73563442752302999</v>
      </c>
      <c r="E844" s="307">
        <f t="shared" ca="1" si="386"/>
        <v>-2.6010786175160492</v>
      </c>
      <c r="F844" s="304">
        <f t="shared" ca="1" si="387"/>
        <v>2.7031033989576385</v>
      </c>
      <c r="G844" s="306">
        <f t="shared" ca="1" si="388"/>
        <v>12.562690220331206</v>
      </c>
      <c r="H844" s="307">
        <f t="shared" ca="1" si="389"/>
        <v>-123.11029013851564</v>
      </c>
      <c r="I844" s="304">
        <f t="shared" ca="1" si="390"/>
        <v>123.74960494305228</v>
      </c>
      <c r="J844" s="306">
        <f t="shared" ca="1" si="391"/>
        <v>780.60585379989482</v>
      </c>
      <c r="K844" s="307">
        <f t="shared" ca="1" si="392"/>
        <v>-7.1829721004246645</v>
      </c>
      <c r="L844" s="304">
        <f t="shared" ca="1" si="377"/>
        <v>780.63890120519761</v>
      </c>
      <c r="M844" s="306">
        <f t="shared" ca="1" si="393"/>
        <v>-1.4691041330504893</v>
      </c>
      <c r="N844" s="304">
        <f t="shared" ca="1" si="394"/>
        <v>-84.173466489018793</v>
      </c>
      <c r="P844" s="310">
        <f t="shared" ca="1" si="395"/>
        <v>23</v>
      </c>
      <c r="Q844" s="304">
        <f t="shared" ca="1" si="396"/>
        <v>0</v>
      </c>
      <c r="R844" s="306">
        <f t="shared" ca="1" si="397"/>
        <v>0</v>
      </c>
      <c r="S844" s="307">
        <f t="shared" ca="1" si="398"/>
        <v>8.0499999999999989</v>
      </c>
      <c r="T844" s="304">
        <f t="shared" ca="1" si="378"/>
        <v>78.970499999999987</v>
      </c>
      <c r="U844" s="311">
        <f t="shared" ca="1" si="379"/>
        <v>0</v>
      </c>
      <c r="V844" s="306">
        <f t="shared" ca="1" si="380"/>
        <v>1.2258802302157563</v>
      </c>
      <c r="W844" s="304">
        <f t="shared" ca="1" si="381"/>
        <v>58.333491319330662</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2.512960722667974</v>
      </c>
      <c r="AH844" s="304">
        <f t="shared" ca="1" si="405"/>
        <v>-7.2463580859485175</v>
      </c>
    </row>
    <row r="845" spans="1:34" x14ac:dyDescent="0.3">
      <c r="A845" s="347">
        <f t="shared" ca="1" si="383"/>
        <v>1E-4</v>
      </c>
      <c r="B845" s="304">
        <f t="shared" ca="1" si="384"/>
        <v>33.932200000001281</v>
      </c>
      <c r="D845" s="306">
        <f t="shared" ca="1" si="385"/>
        <v>-0.73563251935992879</v>
      </c>
      <c r="E845" s="307">
        <f t="shared" ca="1" si="386"/>
        <v>-2.6010398724023887</v>
      </c>
      <c r="F845" s="304">
        <f t="shared" ca="1" si="387"/>
        <v>2.7030655969411601</v>
      </c>
      <c r="G845" s="306">
        <f t="shared" ca="1" si="388"/>
        <v>12.562616657079269</v>
      </c>
      <c r="H845" s="307">
        <f t="shared" ca="1" si="389"/>
        <v>-123.11055024250288</v>
      </c>
      <c r="I845" s="304">
        <f t="shared" ca="1" si="390"/>
        <v>123.74985623540962</v>
      </c>
      <c r="J845" s="306">
        <f t="shared" ca="1" si="391"/>
        <v>780.60585379989482</v>
      </c>
      <c r="K845" s="307">
        <f t="shared" ca="1" si="392"/>
        <v>-7.1952831424437154</v>
      </c>
      <c r="L845" s="304">
        <f t="shared" ca="1" si="377"/>
        <v>780.63901458110752</v>
      </c>
      <c r="M845" s="306">
        <f t="shared" ca="1" si="393"/>
        <v>-1.4691049378044705</v>
      </c>
      <c r="N845" s="304">
        <f t="shared" ca="1" si="394"/>
        <v>-84.173512598025454</v>
      </c>
      <c r="P845" s="310">
        <f t="shared" ca="1" si="395"/>
        <v>23</v>
      </c>
      <c r="Q845" s="304">
        <f t="shared" ca="1" si="396"/>
        <v>0</v>
      </c>
      <c r="R845" s="306">
        <f t="shared" ca="1" si="397"/>
        <v>0</v>
      </c>
      <c r="S845" s="307">
        <f t="shared" ca="1" si="398"/>
        <v>8.0499999999999989</v>
      </c>
      <c r="T845" s="304">
        <f t="shared" ca="1" si="378"/>
        <v>78.970499999999987</v>
      </c>
      <c r="U845" s="311">
        <f t="shared" ca="1" si="379"/>
        <v>0</v>
      </c>
      <c r="V845" s="306">
        <f t="shared" ca="1" si="380"/>
        <v>1.2258817394031825</v>
      </c>
      <c r="W845" s="304">
        <f t="shared" ca="1" si="381"/>
        <v>58.333800044540261</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2.5129231728835855</v>
      </c>
      <c r="AH845" s="304">
        <f t="shared" ca="1" si="405"/>
        <v>-7.2463964371839342</v>
      </c>
    </row>
    <row r="846" spans="1:34" x14ac:dyDescent="0.3">
      <c r="A846" s="347">
        <f t="shared" ca="1" si="383"/>
        <v>1E-4</v>
      </c>
      <c r="B846" s="304">
        <f t="shared" ca="1" si="384"/>
        <v>33.932300000001284</v>
      </c>
      <c r="D846" s="306">
        <f t="shared" ca="1" si="385"/>
        <v>-0.73563061116428619</v>
      </c>
      <c r="E846" s="307">
        <f t="shared" ca="1" si="386"/>
        <v>-2.601001127569269</v>
      </c>
      <c r="F846" s="304">
        <f t="shared" ca="1" si="387"/>
        <v>2.7030277952138322</v>
      </c>
      <c r="G846" s="306">
        <f t="shared" ca="1" si="388"/>
        <v>12.562543094018153</v>
      </c>
      <c r="H846" s="307">
        <f t="shared" ca="1" si="389"/>
        <v>-123.11081034261564</v>
      </c>
      <c r="I846" s="304">
        <f t="shared" ca="1" si="390"/>
        <v>123.75010752401204</v>
      </c>
      <c r="J846" s="306">
        <f t="shared" ca="1" si="391"/>
        <v>780.60585379989482</v>
      </c>
      <c r="K846" s="307">
        <f t="shared" ca="1" si="392"/>
        <v>-7.2075942104729709</v>
      </c>
      <c r="L846" s="304">
        <f t="shared" ca="1" si="377"/>
        <v>780.63912815139213</v>
      </c>
      <c r="M846" s="306">
        <f t="shared" ca="1" si="393"/>
        <v>-1.469105742550471</v>
      </c>
      <c r="N846" s="304">
        <f t="shared" ca="1" si="394"/>
        <v>-84.173558706574866</v>
      </c>
      <c r="P846" s="310">
        <f t="shared" ca="1" si="395"/>
        <v>23</v>
      </c>
      <c r="Q846" s="304">
        <f t="shared" ca="1" si="396"/>
        <v>0</v>
      </c>
      <c r="R846" s="306">
        <f t="shared" ca="1" si="397"/>
        <v>0</v>
      </c>
      <c r="S846" s="307">
        <f t="shared" ca="1" si="398"/>
        <v>8.0499999999999989</v>
      </c>
      <c r="T846" s="304">
        <f t="shared" ca="1" si="378"/>
        <v>78.970499999999987</v>
      </c>
      <c r="U846" s="311">
        <f t="shared" ca="1" si="379"/>
        <v>0</v>
      </c>
      <c r="V846" s="306">
        <f t="shared" ca="1" si="380"/>
        <v>1.2258832485956566</v>
      </c>
      <c r="W846" s="304">
        <f t="shared" ca="1" si="381"/>
        <v>58.334108767514437</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2.5128856233626298</v>
      </c>
      <c r="AH846" s="304">
        <f t="shared" ca="1" si="405"/>
        <v>-7.2464347881416487</v>
      </c>
    </row>
    <row r="847" spans="1:34" x14ac:dyDescent="0.3">
      <c r="A847" s="347">
        <f t="shared" ca="1" si="383"/>
        <v>1E-4</v>
      </c>
      <c r="B847" s="304">
        <f t="shared" ca="1" si="384"/>
        <v>33.932400000001287</v>
      </c>
      <c r="D847" s="306">
        <f t="shared" ca="1" si="385"/>
        <v>-0.73562870293610305</v>
      </c>
      <c r="E847" s="307">
        <f t="shared" ca="1" si="386"/>
        <v>-2.6009623830166815</v>
      </c>
      <c r="F847" s="304">
        <f t="shared" ca="1" si="387"/>
        <v>2.7029899937756459</v>
      </c>
      <c r="G847" s="306">
        <f t="shared" ca="1" si="388"/>
        <v>12.56246953114786</v>
      </c>
      <c r="H847" s="307">
        <f t="shared" ca="1" si="389"/>
        <v>-123.11107043885394</v>
      </c>
      <c r="I847" s="304">
        <f t="shared" ca="1" si="390"/>
        <v>123.75035880885953</v>
      </c>
      <c r="J847" s="306">
        <f t="shared" ca="1" si="391"/>
        <v>780.60585379989482</v>
      </c>
      <c r="K847" s="307">
        <f t="shared" ca="1" si="392"/>
        <v>-7.2199053045120447</v>
      </c>
      <c r="L847" s="304">
        <f t="shared" ca="1" si="377"/>
        <v>780.63924191605236</v>
      </c>
      <c r="M847" s="306">
        <f t="shared" ca="1" si="393"/>
        <v>-1.469106547288491</v>
      </c>
      <c r="N847" s="304">
        <f t="shared" ca="1" si="394"/>
        <v>-84.17360481466703</v>
      </c>
      <c r="P847" s="310">
        <f t="shared" ca="1" si="395"/>
        <v>23</v>
      </c>
      <c r="Q847" s="304">
        <f t="shared" ca="1" si="396"/>
        <v>0</v>
      </c>
      <c r="R847" s="306">
        <f t="shared" ca="1" si="397"/>
        <v>0</v>
      </c>
      <c r="S847" s="307">
        <f t="shared" ca="1" si="398"/>
        <v>8.0499999999999989</v>
      </c>
      <c r="T847" s="304">
        <f t="shared" ca="1" si="378"/>
        <v>78.970499999999987</v>
      </c>
      <c r="U847" s="311">
        <f t="shared" ca="1" si="379"/>
        <v>0</v>
      </c>
      <c r="V847" s="306">
        <f t="shared" ca="1" si="380"/>
        <v>1.2258847577931768</v>
      </c>
      <c r="W847" s="304">
        <f t="shared" ca="1" si="381"/>
        <v>58.334417488253074</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2.5128480741050998</v>
      </c>
      <c r="AH847" s="304">
        <f t="shared" ca="1" si="405"/>
        <v>-7.2464731388216697</v>
      </c>
    </row>
    <row r="848" spans="1:34" x14ac:dyDescent="0.3">
      <c r="A848" s="347">
        <f t="shared" ca="1" si="383"/>
        <v>1E-4</v>
      </c>
      <c r="B848" s="304">
        <f t="shared" ca="1" si="384"/>
        <v>33.932500000001291</v>
      </c>
      <c r="D848" s="306">
        <f t="shared" ca="1" si="385"/>
        <v>-0.73562679467537828</v>
      </c>
      <c r="E848" s="307">
        <f t="shared" ca="1" si="386"/>
        <v>-2.6009236387446384</v>
      </c>
      <c r="F848" s="304">
        <f t="shared" ca="1" si="387"/>
        <v>2.702952192626614</v>
      </c>
      <c r="G848" s="306">
        <f t="shared" ca="1" si="388"/>
        <v>12.562395968468392</v>
      </c>
      <c r="H848" s="307">
        <f t="shared" ca="1" si="389"/>
        <v>-123.11133053121782</v>
      </c>
      <c r="I848" s="304">
        <f t="shared" ca="1" si="390"/>
        <v>123.7506100899521</v>
      </c>
      <c r="J848" s="306">
        <f t="shared" ca="1" si="391"/>
        <v>780.60585379989482</v>
      </c>
      <c r="K848" s="307">
        <f t="shared" ca="1" si="392"/>
        <v>-7.2322164245605487</v>
      </c>
      <c r="L848" s="304">
        <f t="shared" ca="1" si="377"/>
        <v>780.63935587508934</v>
      </c>
      <c r="M848" s="306">
        <f t="shared" ca="1" si="393"/>
        <v>-1.4691073520185307</v>
      </c>
      <c r="N848" s="304">
        <f t="shared" ca="1" si="394"/>
        <v>-84.173650922301945</v>
      </c>
      <c r="P848" s="310">
        <f t="shared" ca="1" si="395"/>
        <v>23</v>
      </c>
      <c r="Q848" s="304">
        <f t="shared" ca="1" si="396"/>
        <v>0</v>
      </c>
      <c r="R848" s="306">
        <f t="shared" ca="1" si="397"/>
        <v>0</v>
      </c>
      <c r="S848" s="307">
        <f t="shared" ca="1" si="398"/>
        <v>8.0499999999999989</v>
      </c>
      <c r="T848" s="304">
        <f t="shared" ca="1" si="378"/>
        <v>78.970499999999987</v>
      </c>
      <c r="U848" s="311">
        <f t="shared" ca="1" si="379"/>
        <v>0</v>
      </c>
      <c r="V848" s="306">
        <f t="shared" ca="1" si="380"/>
        <v>1.2258862669957449</v>
      </c>
      <c r="W848" s="304">
        <f t="shared" ca="1" si="381"/>
        <v>58.334726206756216</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2.5128105251110089</v>
      </c>
      <c r="AH848" s="304">
        <f t="shared" ca="1" si="405"/>
        <v>-7.2465114892239857</v>
      </c>
    </row>
    <row r="849" spans="1:34" x14ac:dyDescent="0.3">
      <c r="A849" s="347">
        <f t="shared" ca="1" si="383"/>
        <v>1E-4</v>
      </c>
      <c r="B849" s="304">
        <f t="shared" ca="1" si="384"/>
        <v>33.932600000001294</v>
      </c>
      <c r="D849" s="306">
        <f t="shared" ca="1" si="385"/>
        <v>-0.73562488638211221</v>
      </c>
      <c r="E849" s="307">
        <f t="shared" ca="1" si="386"/>
        <v>-2.6008848947531353</v>
      </c>
      <c r="F849" s="304">
        <f t="shared" ca="1" si="387"/>
        <v>2.7029143917667322</v>
      </c>
      <c r="G849" s="306">
        <f t="shared" ca="1" si="388"/>
        <v>12.562322405979755</v>
      </c>
      <c r="H849" s="307">
        <f t="shared" ca="1" si="389"/>
        <v>-123.11159061970729</v>
      </c>
      <c r="I849" s="304">
        <f t="shared" ca="1" si="390"/>
        <v>123.7508613672898</v>
      </c>
      <c r="J849" s="306">
        <f t="shared" ca="1" si="391"/>
        <v>780.60585379989482</v>
      </c>
      <c r="K849" s="307">
        <f t="shared" ca="1" si="392"/>
        <v>-7.2445275706180947</v>
      </c>
      <c r="L849" s="304">
        <f t="shared" ca="1" si="377"/>
        <v>780.63947002850432</v>
      </c>
      <c r="M849" s="306">
        <f t="shared" ca="1" si="393"/>
        <v>-1.4691081567405899</v>
      </c>
      <c r="N849" s="304">
        <f t="shared" ca="1" si="394"/>
        <v>-84.173697029479627</v>
      </c>
      <c r="P849" s="310">
        <f t="shared" ca="1" si="395"/>
        <v>23</v>
      </c>
      <c r="Q849" s="304">
        <f t="shared" ca="1" si="396"/>
        <v>0</v>
      </c>
      <c r="R849" s="306">
        <f t="shared" ca="1" si="397"/>
        <v>0</v>
      </c>
      <c r="S849" s="307">
        <f t="shared" ca="1" si="398"/>
        <v>8.0499999999999989</v>
      </c>
      <c r="T849" s="304">
        <f t="shared" ca="1" si="378"/>
        <v>78.970499999999987</v>
      </c>
      <c r="U849" s="311">
        <f t="shared" ca="1" si="379"/>
        <v>0</v>
      </c>
      <c r="V849" s="306">
        <f t="shared" ca="1" si="380"/>
        <v>1.2258877762033602</v>
      </c>
      <c r="W849" s="304">
        <f t="shared" ca="1" si="381"/>
        <v>58.335034923023848</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2.512772976380349</v>
      </c>
      <c r="AH849" s="304">
        <f t="shared" ca="1" si="405"/>
        <v>-7.2465498393485994</v>
      </c>
    </row>
    <row r="850" spans="1:34" x14ac:dyDescent="0.3">
      <c r="A850" s="347">
        <f t="shared" ca="1" si="383"/>
        <v>1E-4</v>
      </c>
      <c r="B850" s="304">
        <f t="shared" ca="1" si="384"/>
        <v>33.932700000001297</v>
      </c>
      <c r="D850" s="306">
        <f t="shared" ca="1" si="385"/>
        <v>-0.73562297805630772</v>
      </c>
      <c r="E850" s="307">
        <f t="shared" ca="1" si="386"/>
        <v>-2.600846151042175</v>
      </c>
      <c r="F850" s="304">
        <f t="shared" ca="1" si="387"/>
        <v>2.7028765911960035</v>
      </c>
      <c r="G850" s="306">
        <f t="shared" ca="1" si="388"/>
        <v>12.562248843681949</v>
      </c>
      <c r="H850" s="307">
        <f t="shared" ca="1" si="389"/>
        <v>-123.11185070432239</v>
      </c>
      <c r="I850" s="304">
        <f t="shared" ca="1" si="390"/>
        <v>123.75111264087266</v>
      </c>
      <c r="J850" s="306">
        <f t="shared" ca="1" si="391"/>
        <v>780.60585379989482</v>
      </c>
      <c r="K850" s="307">
        <f t="shared" ca="1" si="392"/>
        <v>-7.2568387426842964</v>
      </c>
      <c r="L850" s="304">
        <f t="shared" ca="1" si="377"/>
        <v>780.63958437629856</v>
      </c>
      <c r="M850" s="306">
        <f t="shared" ca="1" si="393"/>
        <v>-1.4691089614546688</v>
      </c>
      <c r="N850" s="304">
        <f t="shared" ca="1" si="394"/>
        <v>-84.173743136200059</v>
      </c>
      <c r="P850" s="310">
        <f t="shared" ca="1" si="395"/>
        <v>23</v>
      </c>
      <c r="Q850" s="304">
        <f t="shared" ca="1" si="396"/>
        <v>0</v>
      </c>
      <c r="R850" s="306">
        <f t="shared" ca="1" si="397"/>
        <v>0</v>
      </c>
      <c r="S850" s="307">
        <f t="shared" ca="1" si="398"/>
        <v>8.0499999999999989</v>
      </c>
      <c r="T850" s="304">
        <f t="shared" ca="1" si="378"/>
        <v>78.970499999999987</v>
      </c>
      <c r="U850" s="311">
        <f t="shared" ca="1" si="379"/>
        <v>0</v>
      </c>
      <c r="V850" s="306">
        <f t="shared" ca="1" si="380"/>
        <v>1.2258892854160219</v>
      </c>
      <c r="W850" s="304">
        <f t="shared" ca="1" si="381"/>
        <v>58.335343637055963</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2.5127354279131282</v>
      </c>
      <c r="AH850" s="304">
        <f t="shared" ca="1" si="405"/>
        <v>-7.24658818919551</v>
      </c>
    </row>
    <row r="851" spans="1:34" x14ac:dyDescent="0.3">
      <c r="A851" s="347">
        <f t="shared" ca="1" si="383"/>
        <v>1E-4</v>
      </c>
      <c r="B851" s="304">
        <f t="shared" ca="1" si="384"/>
        <v>33.932800000001301</v>
      </c>
      <c r="D851" s="306">
        <f t="shared" ca="1" si="385"/>
        <v>-0.73562106969796481</v>
      </c>
      <c r="E851" s="307">
        <f t="shared" ca="1" si="386"/>
        <v>-2.6008074076117564</v>
      </c>
      <c r="F851" s="304">
        <f t="shared" ca="1" si="387"/>
        <v>2.7028387909144271</v>
      </c>
      <c r="G851" s="306">
        <f t="shared" ca="1" si="388"/>
        <v>12.56217528157498</v>
      </c>
      <c r="H851" s="307">
        <f t="shared" ca="1" si="389"/>
        <v>-123.11211078506315</v>
      </c>
      <c r="I851" s="304">
        <f t="shared" ca="1" si="390"/>
        <v>123.7513639107007</v>
      </c>
      <c r="J851" s="306">
        <f t="shared" ca="1" si="391"/>
        <v>780.60585379989482</v>
      </c>
      <c r="K851" s="307">
        <f t="shared" ca="1" si="392"/>
        <v>-7.2691499407587656</v>
      </c>
      <c r="L851" s="304">
        <f t="shared" ca="1" si="377"/>
        <v>780.63969891847285</v>
      </c>
      <c r="M851" s="306">
        <f t="shared" ca="1" si="393"/>
        <v>-1.4691097661607679</v>
      </c>
      <c r="N851" s="304">
        <f t="shared" ca="1" si="394"/>
        <v>-84.173789242463286</v>
      </c>
      <c r="P851" s="310">
        <f t="shared" ca="1" si="395"/>
        <v>23</v>
      </c>
      <c r="Q851" s="304">
        <f t="shared" ca="1" si="396"/>
        <v>0</v>
      </c>
      <c r="R851" s="306">
        <f t="shared" ca="1" si="397"/>
        <v>0</v>
      </c>
      <c r="S851" s="307">
        <f t="shared" ca="1" si="398"/>
        <v>8.0499999999999989</v>
      </c>
      <c r="T851" s="304">
        <f t="shared" ca="1" si="378"/>
        <v>78.970499999999987</v>
      </c>
      <c r="U851" s="311">
        <f t="shared" ca="1" si="379"/>
        <v>0</v>
      </c>
      <c r="V851" s="306">
        <f t="shared" ca="1" si="380"/>
        <v>1.2258907946337312</v>
      </c>
      <c r="W851" s="304">
        <f t="shared" ca="1" si="381"/>
        <v>58.33565234885257</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2.5126978797093429</v>
      </c>
      <c r="AH851" s="304">
        <f t="shared" ca="1" si="405"/>
        <v>-7.2466265387647173</v>
      </c>
    </row>
    <row r="852" spans="1:34" x14ac:dyDescent="0.3">
      <c r="A852" s="347">
        <f t="shared" ca="1" si="383"/>
        <v>1E-4</v>
      </c>
      <c r="B852" s="304">
        <f t="shared" ca="1" si="384"/>
        <v>33.932900000001304</v>
      </c>
      <c r="D852" s="306">
        <f t="shared" ca="1" si="385"/>
        <v>-0.73561916130708194</v>
      </c>
      <c r="E852" s="307">
        <f t="shared" ca="1" si="386"/>
        <v>-2.6007686644618806</v>
      </c>
      <c r="F852" s="304">
        <f t="shared" ca="1" si="387"/>
        <v>2.7028009909220043</v>
      </c>
      <c r="G852" s="306">
        <f t="shared" ca="1" si="388"/>
        <v>12.56210171965885</v>
      </c>
      <c r="H852" s="307">
        <f t="shared" ca="1" si="389"/>
        <v>-123.11237086192959</v>
      </c>
      <c r="I852" s="304">
        <f t="shared" ca="1" si="390"/>
        <v>123.75161517677394</v>
      </c>
      <c r="J852" s="306">
        <f t="shared" ca="1" si="391"/>
        <v>780.60585379989482</v>
      </c>
      <c r="K852" s="307">
        <f t="shared" ca="1" si="392"/>
        <v>-7.2814611648411152</v>
      </c>
      <c r="L852" s="304">
        <f t="shared" ca="1" si="377"/>
        <v>780.63981365502866</v>
      </c>
      <c r="M852" s="306">
        <f t="shared" ca="1" si="393"/>
        <v>-1.469110570858887</v>
      </c>
      <c r="N852" s="304">
        <f t="shared" ca="1" si="394"/>
        <v>-84.173835348269293</v>
      </c>
      <c r="P852" s="310">
        <f t="shared" ca="1" si="395"/>
        <v>23</v>
      </c>
      <c r="Q852" s="304">
        <f t="shared" ca="1" si="396"/>
        <v>0</v>
      </c>
      <c r="R852" s="306">
        <f t="shared" ca="1" si="397"/>
        <v>0</v>
      </c>
      <c r="S852" s="307">
        <f t="shared" ca="1" si="398"/>
        <v>8.0499999999999989</v>
      </c>
      <c r="T852" s="304">
        <f t="shared" ca="1" si="378"/>
        <v>78.970499999999987</v>
      </c>
      <c r="U852" s="311">
        <f t="shared" ca="1" si="379"/>
        <v>0</v>
      </c>
      <c r="V852" s="306">
        <f t="shared" ca="1" si="380"/>
        <v>1.2258923038564873</v>
      </c>
      <c r="W852" s="304">
        <f t="shared" ca="1" si="381"/>
        <v>58.335961058413631</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2.5126603317689957</v>
      </c>
      <c r="AH852" s="304">
        <f t="shared" ca="1" si="405"/>
        <v>-7.2466648880562206</v>
      </c>
    </row>
    <row r="853" spans="1:34" x14ac:dyDescent="0.3">
      <c r="A853" s="347">
        <f t="shared" ca="1" si="383"/>
        <v>1E-4</v>
      </c>
      <c r="B853" s="304">
        <f t="shared" ca="1" si="384"/>
        <v>33.933000000001307</v>
      </c>
      <c r="D853" s="306">
        <f t="shared" ca="1" si="385"/>
        <v>-0.73561725288366198</v>
      </c>
      <c r="E853" s="307">
        <f t="shared" ca="1" si="386"/>
        <v>-2.600729921592551</v>
      </c>
      <c r="F853" s="304">
        <f t="shared" ca="1" si="387"/>
        <v>2.7027631912187391</v>
      </c>
      <c r="G853" s="306">
        <f t="shared" ca="1" si="388"/>
        <v>12.562028157933561</v>
      </c>
      <c r="H853" s="307">
        <f t="shared" ca="1" si="389"/>
        <v>-123.11263093492175</v>
      </c>
      <c r="I853" s="304">
        <f t="shared" ca="1" si="390"/>
        <v>123.75186643909242</v>
      </c>
      <c r="J853" s="306">
        <f t="shared" ca="1" si="391"/>
        <v>780.60585379989482</v>
      </c>
      <c r="K853" s="307">
        <f t="shared" ca="1" si="392"/>
        <v>-7.2937724149309577</v>
      </c>
      <c r="L853" s="304">
        <f t="shared" ca="1" si="377"/>
        <v>780.63992858596691</v>
      </c>
      <c r="M853" s="306">
        <f t="shared" ca="1" si="393"/>
        <v>-1.4691113755490259</v>
      </c>
      <c r="N853" s="304">
        <f t="shared" ca="1" si="394"/>
        <v>-84.173881453618066</v>
      </c>
      <c r="P853" s="310">
        <f t="shared" ca="1" si="395"/>
        <v>23</v>
      </c>
      <c r="Q853" s="304">
        <f t="shared" ca="1" si="396"/>
        <v>0</v>
      </c>
      <c r="R853" s="306">
        <f t="shared" ca="1" si="397"/>
        <v>0</v>
      </c>
      <c r="S853" s="307">
        <f t="shared" ca="1" si="398"/>
        <v>8.0499999999999989</v>
      </c>
      <c r="T853" s="304">
        <f t="shared" ca="1" si="378"/>
        <v>78.970499999999987</v>
      </c>
      <c r="U853" s="311">
        <f t="shared" ca="1" si="379"/>
        <v>0</v>
      </c>
      <c r="V853" s="306">
        <f t="shared" ca="1" si="380"/>
        <v>1.22589381308429</v>
      </c>
      <c r="W853" s="304">
        <f t="shared" ca="1" si="381"/>
        <v>58.336269765739161</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2.5126227840920876</v>
      </c>
      <c r="AH853" s="304">
        <f t="shared" ca="1" si="405"/>
        <v>-7.2467032370700171</v>
      </c>
    </row>
    <row r="854" spans="1:34" x14ac:dyDescent="0.3">
      <c r="A854" s="347">
        <f t="shared" ca="1" si="383"/>
        <v>1E-4</v>
      </c>
      <c r="B854" s="304">
        <f t="shared" ca="1" si="384"/>
        <v>33.933100000001311</v>
      </c>
      <c r="D854" s="306">
        <f t="shared" ca="1" si="385"/>
        <v>-0.73561534442770649</v>
      </c>
      <c r="E854" s="307">
        <f t="shared" ca="1" si="386"/>
        <v>-2.600691179003765</v>
      </c>
      <c r="F854" s="304">
        <f t="shared" ca="1" si="387"/>
        <v>2.7027253918046292</v>
      </c>
      <c r="G854" s="306">
        <f t="shared" ca="1" si="388"/>
        <v>12.561954596399119</v>
      </c>
      <c r="H854" s="307">
        <f t="shared" ca="1" si="389"/>
        <v>-123.11289100403965</v>
      </c>
      <c r="I854" s="304">
        <f t="shared" ca="1" si="390"/>
        <v>123.75211769765615</v>
      </c>
      <c r="J854" s="306">
        <f t="shared" ca="1" si="391"/>
        <v>780.60585379989482</v>
      </c>
      <c r="K854" s="307">
        <f t="shared" ca="1" si="392"/>
        <v>-7.3060836910279061</v>
      </c>
      <c r="L854" s="304">
        <f t="shared" ca="1" si="377"/>
        <v>780.64004371128885</v>
      </c>
      <c r="M854" s="306">
        <f t="shared" ca="1" si="393"/>
        <v>-1.4691121802311855</v>
      </c>
      <c r="N854" s="304">
        <f t="shared" ca="1" si="394"/>
        <v>-84.173927558509661</v>
      </c>
      <c r="P854" s="310">
        <f t="shared" ca="1" si="395"/>
        <v>23</v>
      </c>
      <c r="Q854" s="304">
        <f t="shared" ca="1" si="396"/>
        <v>0</v>
      </c>
      <c r="R854" s="306">
        <f t="shared" ca="1" si="397"/>
        <v>0</v>
      </c>
      <c r="S854" s="307">
        <f t="shared" ca="1" si="398"/>
        <v>8.0499999999999989</v>
      </c>
      <c r="T854" s="304">
        <f t="shared" ca="1" si="378"/>
        <v>78.970499999999987</v>
      </c>
      <c r="U854" s="311">
        <f t="shared" ca="1" si="379"/>
        <v>0</v>
      </c>
      <c r="V854" s="306">
        <f t="shared" ca="1" si="380"/>
        <v>1.2258953223171398</v>
      </c>
      <c r="W854" s="304">
        <f t="shared" ca="1" si="381"/>
        <v>58.336578470829132</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2.5125852366786212</v>
      </c>
      <c r="AH854" s="304">
        <f t="shared" ca="1" si="405"/>
        <v>-7.2467415858061077</v>
      </c>
    </row>
    <row r="855" spans="1:34" x14ac:dyDescent="0.3">
      <c r="A855" s="347">
        <f t="shared" ca="1" si="383"/>
        <v>1E-4</v>
      </c>
      <c r="B855" s="304">
        <f t="shared" ca="1" si="384"/>
        <v>33.933200000001314</v>
      </c>
      <c r="D855" s="306">
        <f t="shared" ca="1" si="385"/>
        <v>-0.73561343593921213</v>
      </c>
      <c r="E855" s="307">
        <f t="shared" ca="1" si="386"/>
        <v>-2.6006524366955279</v>
      </c>
      <c r="F855" s="304">
        <f t="shared" ca="1" si="387"/>
        <v>2.7026875926796796</v>
      </c>
      <c r="G855" s="306">
        <f t="shared" ca="1" si="388"/>
        <v>12.561881035055524</v>
      </c>
      <c r="H855" s="307">
        <f t="shared" ca="1" si="389"/>
        <v>-123.11315106928332</v>
      </c>
      <c r="I855" s="304">
        <f t="shared" ca="1" si="390"/>
        <v>123.75236895246518</v>
      </c>
      <c r="J855" s="306">
        <f t="shared" ca="1" si="391"/>
        <v>780.60585379989482</v>
      </c>
      <c r="K855" s="307">
        <f t="shared" ca="1" si="392"/>
        <v>-7.3183949931315722</v>
      </c>
      <c r="L855" s="304">
        <f t="shared" ca="1" si="377"/>
        <v>780.64015903099573</v>
      </c>
      <c r="M855" s="306">
        <f t="shared" ca="1" si="393"/>
        <v>-1.4691129849053652</v>
      </c>
      <c r="N855" s="304">
        <f t="shared" ca="1" si="394"/>
        <v>-84.17397366294405</v>
      </c>
      <c r="P855" s="310">
        <f t="shared" ca="1" si="395"/>
        <v>23</v>
      </c>
      <c r="Q855" s="304">
        <f t="shared" ca="1" si="396"/>
        <v>0</v>
      </c>
      <c r="R855" s="306">
        <f t="shared" ca="1" si="397"/>
        <v>0</v>
      </c>
      <c r="S855" s="307">
        <f t="shared" ca="1" si="398"/>
        <v>8.0499999999999989</v>
      </c>
      <c r="T855" s="304">
        <f t="shared" ca="1" si="378"/>
        <v>78.970499999999987</v>
      </c>
      <c r="U855" s="311">
        <f t="shared" ca="1" si="379"/>
        <v>0</v>
      </c>
      <c r="V855" s="306">
        <f t="shared" ca="1" si="380"/>
        <v>1.2258968315550365</v>
      </c>
      <c r="W855" s="304">
        <f t="shared" ca="1" si="381"/>
        <v>58.336887173683579</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2.5125476895285965</v>
      </c>
      <c r="AH855" s="304">
        <f t="shared" ca="1" si="405"/>
        <v>-7.246779934264489</v>
      </c>
    </row>
    <row r="856" spans="1:34" x14ac:dyDescent="0.3">
      <c r="A856" s="347">
        <f t="shared" ca="1" si="383"/>
        <v>1E-4</v>
      </c>
      <c r="B856" s="304">
        <f t="shared" ca="1" si="384"/>
        <v>33.933300000001317</v>
      </c>
      <c r="D856" s="306">
        <f t="shared" ca="1" si="385"/>
        <v>-0.73561152741818403</v>
      </c>
      <c r="E856" s="307">
        <f t="shared" ca="1" si="386"/>
        <v>-2.6006136946678335</v>
      </c>
      <c r="F856" s="304">
        <f t="shared" ca="1" si="387"/>
        <v>2.7026497938438849</v>
      </c>
      <c r="G856" s="306">
        <f t="shared" ca="1" si="388"/>
        <v>12.561807473902782</v>
      </c>
      <c r="H856" s="307">
        <f t="shared" ca="1" si="389"/>
        <v>-123.11341113065279</v>
      </c>
      <c r="I856" s="304">
        <f t="shared" ca="1" si="390"/>
        <v>123.7526202035195</v>
      </c>
      <c r="J856" s="306">
        <f t="shared" ca="1" si="391"/>
        <v>780.60585379989482</v>
      </c>
      <c r="K856" s="307">
        <f t="shared" ca="1" si="392"/>
        <v>-7.3307063212415686</v>
      </c>
      <c r="L856" s="304">
        <f t="shared" ca="1" si="377"/>
        <v>780.64027454508835</v>
      </c>
      <c r="M856" s="306">
        <f t="shared" ca="1" si="393"/>
        <v>-1.4691137895715656</v>
      </c>
      <c r="N856" s="304">
        <f t="shared" ca="1" si="394"/>
        <v>-84.174019766921248</v>
      </c>
      <c r="P856" s="310">
        <f t="shared" ca="1" si="395"/>
        <v>23</v>
      </c>
      <c r="Q856" s="304">
        <f t="shared" ca="1" si="396"/>
        <v>0</v>
      </c>
      <c r="R856" s="306">
        <f t="shared" ca="1" si="397"/>
        <v>0</v>
      </c>
      <c r="S856" s="307">
        <f t="shared" ca="1" si="398"/>
        <v>8.0499999999999989</v>
      </c>
      <c r="T856" s="304">
        <f t="shared" ca="1" si="378"/>
        <v>78.970499999999987</v>
      </c>
      <c r="U856" s="311">
        <f t="shared" ca="1" si="379"/>
        <v>0</v>
      </c>
      <c r="V856" s="306">
        <f t="shared" ca="1" si="380"/>
        <v>1.2258983407979804</v>
      </c>
      <c r="W856" s="304">
        <f t="shared" ca="1" si="381"/>
        <v>58.337195874302473</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2.5125101426420136</v>
      </c>
      <c r="AH856" s="304">
        <f t="shared" ca="1" si="405"/>
        <v>-7.2468182824451661</v>
      </c>
    </row>
    <row r="857" spans="1:34" x14ac:dyDescent="0.3">
      <c r="A857" s="347">
        <f t="shared" ca="1" si="383"/>
        <v>1E-4</v>
      </c>
      <c r="B857" s="304">
        <f t="shared" ca="1" si="384"/>
        <v>33.933400000001321</v>
      </c>
      <c r="D857" s="306">
        <f t="shared" ca="1" si="385"/>
        <v>-0.73560961886462017</v>
      </c>
      <c r="E857" s="307">
        <f t="shared" ca="1" si="386"/>
        <v>-2.6005749529206872</v>
      </c>
      <c r="F857" s="304">
        <f t="shared" ca="1" si="387"/>
        <v>2.7026119952972505</v>
      </c>
      <c r="G857" s="306">
        <f t="shared" ca="1" si="388"/>
        <v>12.561733912940895</v>
      </c>
      <c r="H857" s="307">
        <f t="shared" ca="1" si="389"/>
        <v>-123.11367118814809</v>
      </c>
      <c r="I857" s="304">
        <f t="shared" ca="1" si="390"/>
        <v>123.75287145081917</v>
      </c>
      <c r="J857" s="306">
        <f t="shared" ca="1" si="391"/>
        <v>780.60585379989482</v>
      </c>
      <c r="K857" s="307">
        <f t="shared" ca="1" si="392"/>
        <v>-7.3430176753575083</v>
      </c>
      <c r="L857" s="304">
        <f t="shared" ca="1" si="377"/>
        <v>780.64039025356828</v>
      </c>
      <c r="M857" s="306">
        <f t="shared" ca="1" si="393"/>
        <v>-1.4691145942297865</v>
      </c>
      <c r="N857" s="304">
        <f t="shared" ca="1" si="394"/>
        <v>-84.174065870441254</v>
      </c>
      <c r="P857" s="310">
        <f t="shared" ca="1" si="395"/>
        <v>23</v>
      </c>
      <c r="Q857" s="304">
        <f t="shared" ca="1" si="396"/>
        <v>0</v>
      </c>
      <c r="R857" s="306">
        <f t="shared" ca="1" si="397"/>
        <v>0</v>
      </c>
      <c r="S857" s="307">
        <f t="shared" ca="1" si="398"/>
        <v>8.0499999999999989</v>
      </c>
      <c r="T857" s="304">
        <f t="shared" ca="1" si="378"/>
        <v>78.970499999999987</v>
      </c>
      <c r="U857" s="311">
        <f t="shared" ca="1" si="379"/>
        <v>0</v>
      </c>
      <c r="V857" s="306">
        <f t="shared" ca="1" si="380"/>
        <v>1.225899850045971</v>
      </c>
      <c r="W857" s="304">
        <f t="shared" ca="1" si="381"/>
        <v>58.337504572685802</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2.5124725960188723</v>
      </c>
      <c r="AH857" s="304">
        <f t="shared" ca="1" si="405"/>
        <v>-7.2468566303481339</v>
      </c>
    </row>
    <row r="858" spans="1:34" x14ac:dyDescent="0.3">
      <c r="A858" s="347">
        <f t="shared" ca="1" si="383"/>
        <v>1E-4</v>
      </c>
      <c r="B858" s="304">
        <f t="shared" ca="1" si="384"/>
        <v>33.933500000001324</v>
      </c>
      <c r="D858" s="306">
        <f t="shared" ca="1" si="385"/>
        <v>-0.73560771027852201</v>
      </c>
      <c r="E858" s="307">
        <f t="shared" ca="1" si="386"/>
        <v>-2.6005362114540889</v>
      </c>
      <c r="F858" s="304">
        <f t="shared" ca="1" si="387"/>
        <v>2.7025741970397772</v>
      </c>
      <c r="G858" s="306">
        <f t="shared" ca="1" si="388"/>
        <v>12.561660352169866</v>
      </c>
      <c r="H858" s="307">
        <f t="shared" ca="1" si="389"/>
        <v>-123.11393124176924</v>
      </c>
      <c r="I858" s="304">
        <f t="shared" ca="1" si="390"/>
        <v>123.75312269436419</v>
      </c>
      <c r="J858" s="306">
        <f t="shared" ca="1" si="391"/>
        <v>780.60585379989482</v>
      </c>
      <c r="K858" s="307">
        <f t="shared" ca="1" si="392"/>
        <v>-7.3553290554790038</v>
      </c>
      <c r="L858" s="304">
        <f t="shared" ca="1" si="377"/>
        <v>780.64050615643635</v>
      </c>
      <c r="M858" s="306">
        <f t="shared" ca="1" si="393"/>
        <v>-1.4691153988800281</v>
      </c>
      <c r="N858" s="304">
        <f t="shared" ca="1" si="394"/>
        <v>-84.174111973504083</v>
      </c>
      <c r="P858" s="310">
        <f t="shared" ca="1" si="395"/>
        <v>23</v>
      </c>
      <c r="Q858" s="304">
        <f t="shared" ca="1" si="396"/>
        <v>0</v>
      </c>
      <c r="R858" s="306">
        <f t="shared" ca="1" si="397"/>
        <v>0</v>
      </c>
      <c r="S858" s="307">
        <f t="shared" ca="1" si="398"/>
        <v>8.0499999999999989</v>
      </c>
      <c r="T858" s="304">
        <f t="shared" ca="1" si="378"/>
        <v>78.970499999999987</v>
      </c>
      <c r="U858" s="311">
        <f t="shared" ca="1" si="379"/>
        <v>0</v>
      </c>
      <c r="V858" s="306">
        <f t="shared" ca="1" si="380"/>
        <v>1.2259013592990082</v>
      </c>
      <c r="W858" s="304">
        <f t="shared" ca="1" si="381"/>
        <v>58.337813268833543</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2.5124350496591763</v>
      </c>
      <c r="AH858" s="304">
        <f t="shared" ca="1" si="405"/>
        <v>-7.2468949779733922</v>
      </c>
    </row>
    <row r="859" spans="1:34" x14ac:dyDescent="0.3">
      <c r="A859" s="347">
        <f t="shared" ca="1" si="383"/>
        <v>1E-4</v>
      </c>
      <c r="B859" s="304">
        <f t="shared" ca="1" si="384"/>
        <v>33.933600000001327</v>
      </c>
      <c r="D859" s="306">
        <f t="shared" ca="1" si="385"/>
        <v>-0.73560580165989076</v>
      </c>
      <c r="E859" s="307">
        <f t="shared" ca="1" si="386"/>
        <v>-2.600497470268043</v>
      </c>
      <c r="F859" s="304">
        <f t="shared" ca="1" si="387"/>
        <v>2.702536399071469</v>
      </c>
      <c r="G859" s="306">
        <f t="shared" ca="1" si="388"/>
        <v>12.561586791589701</v>
      </c>
      <c r="H859" s="307">
        <f t="shared" ca="1" si="389"/>
        <v>-123.11419129151626</v>
      </c>
      <c r="I859" s="304">
        <f t="shared" ca="1" si="390"/>
        <v>123.75337393415462</v>
      </c>
      <c r="J859" s="306">
        <f t="shared" ca="1" si="391"/>
        <v>780.60585379989482</v>
      </c>
      <c r="K859" s="307">
        <f t="shared" ca="1" si="392"/>
        <v>-7.3676404616056681</v>
      </c>
      <c r="L859" s="304">
        <f t="shared" ca="1" si="377"/>
        <v>780.64062225369378</v>
      </c>
      <c r="M859" s="306">
        <f t="shared" ca="1" si="393"/>
        <v>-1.4691162035222907</v>
      </c>
      <c r="N859" s="304">
        <f t="shared" ca="1" si="394"/>
        <v>-84.174158076109748</v>
      </c>
      <c r="P859" s="310">
        <f t="shared" ca="1" si="395"/>
        <v>23</v>
      </c>
      <c r="Q859" s="304">
        <f t="shared" ca="1" si="396"/>
        <v>0</v>
      </c>
      <c r="R859" s="306">
        <f t="shared" ca="1" si="397"/>
        <v>0</v>
      </c>
      <c r="S859" s="307">
        <f t="shared" ca="1" si="398"/>
        <v>8.0499999999999989</v>
      </c>
      <c r="T859" s="304">
        <f t="shared" ca="1" si="378"/>
        <v>78.970499999999987</v>
      </c>
      <c r="U859" s="311">
        <f t="shared" ca="1" si="379"/>
        <v>0</v>
      </c>
      <c r="V859" s="306">
        <f t="shared" ca="1" si="380"/>
        <v>1.2259028685570923</v>
      </c>
      <c r="W859" s="304">
        <f t="shared" ca="1" si="381"/>
        <v>58.338121962745745</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2.5123975035629291</v>
      </c>
      <c r="AH859" s="304">
        <f t="shared" ca="1" si="405"/>
        <v>-7.2469333253209376</v>
      </c>
    </row>
    <row r="860" spans="1:34" x14ac:dyDescent="0.3">
      <c r="A860" s="347">
        <f t="shared" ca="1" si="383"/>
        <v>1E-4</v>
      </c>
      <c r="B860" s="304">
        <f t="shared" ca="1" si="384"/>
        <v>33.93370000000133</v>
      </c>
      <c r="D860" s="306">
        <f t="shared" ca="1" si="385"/>
        <v>-0.73560389300872575</v>
      </c>
      <c r="E860" s="307">
        <f t="shared" ca="1" si="386"/>
        <v>-2.6004587293625416</v>
      </c>
      <c r="F860" s="304">
        <f t="shared" ca="1" si="387"/>
        <v>2.7024986013923185</v>
      </c>
      <c r="G860" s="306">
        <f t="shared" ca="1" si="388"/>
        <v>12.561513231200399</v>
      </c>
      <c r="H860" s="307">
        <f t="shared" ca="1" si="389"/>
        <v>-123.1144513373892</v>
      </c>
      <c r="I860" s="304">
        <f t="shared" ca="1" si="390"/>
        <v>123.75362517019046</v>
      </c>
      <c r="J860" s="306">
        <f t="shared" ca="1" si="391"/>
        <v>780.60585379989482</v>
      </c>
      <c r="K860" s="307">
        <f t="shared" ca="1" si="392"/>
        <v>-7.3799518937371138</v>
      </c>
      <c r="L860" s="304">
        <f t="shared" ca="1" si="377"/>
        <v>780.64073854534172</v>
      </c>
      <c r="M860" s="306">
        <f t="shared" ca="1" si="393"/>
        <v>-1.4691170081565741</v>
      </c>
      <c r="N860" s="304">
        <f t="shared" ca="1" si="394"/>
        <v>-84.174204178258236</v>
      </c>
      <c r="P860" s="310">
        <f t="shared" ca="1" si="395"/>
        <v>23</v>
      </c>
      <c r="Q860" s="304">
        <f t="shared" ca="1" si="396"/>
        <v>0</v>
      </c>
      <c r="R860" s="306">
        <f t="shared" ca="1" si="397"/>
        <v>0</v>
      </c>
      <c r="S860" s="307">
        <f t="shared" ca="1" si="398"/>
        <v>8.0499999999999989</v>
      </c>
      <c r="T860" s="304">
        <f t="shared" ca="1" si="378"/>
        <v>78.970499999999987</v>
      </c>
      <c r="U860" s="311">
        <f t="shared" ca="1" si="379"/>
        <v>0</v>
      </c>
      <c r="V860" s="306">
        <f t="shared" ca="1" si="380"/>
        <v>1.2259043778202234</v>
      </c>
      <c r="W860" s="304">
        <f t="shared" ca="1" si="381"/>
        <v>58.338430654422361</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2.5123599577301237</v>
      </c>
      <c r="AH860" s="304">
        <f t="shared" ca="1" si="405"/>
        <v>-7.2469716723907771</v>
      </c>
    </row>
    <row r="861" spans="1:34" x14ac:dyDescent="0.3">
      <c r="A861" s="347">
        <f t="shared" ca="1" si="383"/>
        <v>1E-4</v>
      </c>
      <c r="B861" s="304">
        <f t="shared" ca="1" si="384"/>
        <v>33.933800000001334</v>
      </c>
      <c r="D861" s="306">
        <f t="shared" ca="1" si="385"/>
        <v>-0.73560198432502921</v>
      </c>
      <c r="E861" s="307">
        <f t="shared" ca="1" si="386"/>
        <v>-2.6004199887375927</v>
      </c>
      <c r="F861" s="304">
        <f t="shared" ca="1" si="387"/>
        <v>2.7024608040023343</v>
      </c>
      <c r="G861" s="306">
        <f t="shared" ca="1" si="388"/>
        <v>12.561439671001967</v>
      </c>
      <c r="H861" s="307">
        <f t="shared" ca="1" si="389"/>
        <v>-123.11471137938807</v>
      </c>
      <c r="I861" s="304">
        <f t="shared" ca="1" si="390"/>
        <v>123.75387640247173</v>
      </c>
      <c r="J861" s="306">
        <f t="shared" ca="1" si="391"/>
        <v>780.60585379989482</v>
      </c>
      <c r="K861" s="307">
        <f t="shared" ca="1" si="392"/>
        <v>-7.3922633518729528</v>
      </c>
      <c r="L861" s="304">
        <f t="shared" ca="1" si="377"/>
        <v>780.64085503138131</v>
      </c>
      <c r="M861" s="306">
        <f t="shared" ca="1" si="393"/>
        <v>-1.4691178127828788</v>
      </c>
      <c r="N861" s="304">
        <f t="shared" ca="1" si="394"/>
        <v>-84.174250279949575</v>
      </c>
      <c r="P861" s="310">
        <f t="shared" ca="1" si="395"/>
        <v>23</v>
      </c>
      <c r="Q861" s="304">
        <f t="shared" ca="1" si="396"/>
        <v>0</v>
      </c>
      <c r="R861" s="306">
        <f t="shared" ca="1" si="397"/>
        <v>0</v>
      </c>
      <c r="S861" s="307">
        <f t="shared" ca="1" si="398"/>
        <v>8.0499999999999989</v>
      </c>
      <c r="T861" s="304">
        <f t="shared" ca="1" si="378"/>
        <v>78.970499999999987</v>
      </c>
      <c r="U861" s="311">
        <f t="shared" ca="1" si="379"/>
        <v>0</v>
      </c>
      <c r="V861" s="306">
        <f t="shared" ca="1" si="380"/>
        <v>1.2259058870884008</v>
      </c>
      <c r="W861" s="304">
        <f t="shared" ca="1" si="381"/>
        <v>58.338739343863359</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2.5123224121607679</v>
      </c>
      <c r="AH861" s="304">
        <f t="shared" ca="1" si="405"/>
        <v>-7.2470100191829028</v>
      </c>
    </row>
    <row r="862" spans="1:34" x14ac:dyDescent="0.3">
      <c r="A862" s="347">
        <f t="shared" ca="1" si="383"/>
        <v>1E-4</v>
      </c>
      <c r="B862" s="304">
        <f t="shared" ca="1" si="384"/>
        <v>33.933900000001337</v>
      </c>
      <c r="D862" s="306">
        <f t="shared" ca="1" si="385"/>
        <v>-0.73560007560879925</v>
      </c>
      <c r="E862" s="307">
        <f t="shared" ca="1" si="386"/>
        <v>-2.600381248393199</v>
      </c>
      <c r="F862" s="304">
        <f t="shared" ca="1" si="387"/>
        <v>2.702423006901518</v>
      </c>
      <c r="G862" s="306">
        <f t="shared" ca="1" si="388"/>
        <v>12.561366110994406</v>
      </c>
      <c r="H862" s="307">
        <f t="shared" ca="1" si="389"/>
        <v>-123.1149714175129</v>
      </c>
      <c r="I862" s="304">
        <f t="shared" ca="1" si="390"/>
        <v>123.75412763099847</v>
      </c>
      <c r="J862" s="306">
        <f t="shared" ca="1" si="391"/>
        <v>780.60585379989482</v>
      </c>
      <c r="K862" s="307">
        <f t="shared" ca="1" si="392"/>
        <v>-7.4045748360127979</v>
      </c>
      <c r="L862" s="304">
        <f t="shared" ca="1" si="377"/>
        <v>780.64097171181379</v>
      </c>
      <c r="M862" s="306">
        <f t="shared" ca="1" si="393"/>
        <v>-1.4691186174012045</v>
      </c>
      <c r="N862" s="304">
        <f t="shared" ca="1" si="394"/>
        <v>-84.174296381183765</v>
      </c>
      <c r="P862" s="310">
        <f t="shared" ca="1" si="395"/>
        <v>23</v>
      </c>
      <c r="Q862" s="304">
        <f t="shared" ca="1" si="396"/>
        <v>0</v>
      </c>
      <c r="R862" s="306">
        <f t="shared" ca="1" si="397"/>
        <v>0</v>
      </c>
      <c r="S862" s="307">
        <f t="shared" ca="1" si="398"/>
        <v>8.0499999999999989</v>
      </c>
      <c r="T862" s="304">
        <f t="shared" ca="1" si="378"/>
        <v>78.970499999999987</v>
      </c>
      <c r="U862" s="311">
        <f t="shared" ca="1" si="379"/>
        <v>0</v>
      </c>
      <c r="V862" s="306">
        <f t="shared" ca="1" si="380"/>
        <v>1.2259073963616247</v>
      </c>
      <c r="W862" s="304">
        <f t="shared" ca="1" si="381"/>
        <v>58.339048031068756</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2.5122848668548636</v>
      </c>
      <c r="AH862" s="304">
        <f t="shared" ca="1" si="405"/>
        <v>-7.2470483656973128</v>
      </c>
    </row>
    <row r="863" spans="1:34" x14ac:dyDescent="0.3">
      <c r="A863" s="347">
        <f t="shared" ca="1" si="383"/>
        <v>1E-4</v>
      </c>
      <c r="B863" s="304">
        <f t="shared" ca="1" si="384"/>
        <v>33.93400000000134</v>
      </c>
      <c r="D863" s="306">
        <f t="shared" ca="1" si="385"/>
        <v>-0.73559816686003943</v>
      </c>
      <c r="E863" s="307">
        <f t="shared" ca="1" si="386"/>
        <v>-2.6003425083293576</v>
      </c>
      <c r="F863" s="304">
        <f t="shared" ca="1" si="387"/>
        <v>2.7023852100898691</v>
      </c>
      <c r="G863" s="306">
        <f t="shared" ca="1" si="388"/>
        <v>12.56129255117772</v>
      </c>
      <c r="H863" s="307">
        <f t="shared" ca="1" si="389"/>
        <v>-123.11523145176373</v>
      </c>
      <c r="I863" s="304">
        <f t="shared" ca="1" si="390"/>
        <v>123.75437885577071</v>
      </c>
      <c r="J863" s="306">
        <f t="shared" ca="1" si="391"/>
        <v>780.60585379989482</v>
      </c>
      <c r="K863" s="307">
        <f t="shared" ca="1" si="392"/>
        <v>-7.4168863461562617</v>
      </c>
      <c r="L863" s="304">
        <f t="shared" ca="1" si="377"/>
        <v>780.64108858664008</v>
      </c>
      <c r="M863" s="306">
        <f t="shared" ca="1" si="393"/>
        <v>-1.4691194220115518</v>
      </c>
      <c r="N863" s="304">
        <f t="shared" ca="1" si="394"/>
        <v>-84.174342481960807</v>
      </c>
      <c r="P863" s="310">
        <f t="shared" ca="1" si="395"/>
        <v>23</v>
      </c>
      <c r="Q863" s="304">
        <f t="shared" ca="1" si="396"/>
        <v>0</v>
      </c>
      <c r="R863" s="306">
        <f t="shared" ca="1" si="397"/>
        <v>0</v>
      </c>
      <c r="S863" s="307">
        <f t="shared" ca="1" si="398"/>
        <v>8.0499999999999989</v>
      </c>
      <c r="T863" s="304">
        <f t="shared" ca="1" si="378"/>
        <v>78.970499999999987</v>
      </c>
      <c r="U863" s="311">
        <f t="shared" ca="1" si="379"/>
        <v>0</v>
      </c>
      <c r="V863" s="306">
        <f t="shared" ca="1" si="380"/>
        <v>1.2259089056398957</v>
      </c>
      <c r="W863" s="304">
        <f t="shared" ca="1" si="381"/>
        <v>58.33935671603858</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2.5122473218124117</v>
      </c>
      <c r="AH863" s="304">
        <f t="shared" ca="1" si="405"/>
        <v>-7.2470867119340081</v>
      </c>
    </row>
    <row r="864" spans="1:34" x14ac:dyDescent="0.3">
      <c r="A864" s="347">
        <f t="shared" ca="1" si="383"/>
        <v>1E-4</v>
      </c>
      <c r="B864" s="304">
        <f t="shared" ca="1" si="384"/>
        <v>33.934100000001344</v>
      </c>
      <c r="D864" s="306">
        <f t="shared" ca="1" si="385"/>
        <v>-0.73559625807874829</v>
      </c>
      <c r="E864" s="307">
        <f t="shared" ca="1" si="386"/>
        <v>-2.600303768546067</v>
      </c>
      <c r="F864" s="304">
        <f t="shared" ca="1" si="387"/>
        <v>2.7023474135673848</v>
      </c>
      <c r="G864" s="306">
        <f t="shared" ca="1" si="388"/>
        <v>12.561218991551913</v>
      </c>
      <c r="H864" s="307">
        <f t="shared" ca="1" si="389"/>
        <v>-123.11549148214058</v>
      </c>
      <c r="I864" s="304">
        <f t="shared" ca="1" si="390"/>
        <v>123.75463007678846</v>
      </c>
      <c r="J864" s="306">
        <f t="shared" ca="1" si="391"/>
        <v>780.60585379989482</v>
      </c>
      <c r="K864" s="307">
        <f t="shared" ca="1" si="392"/>
        <v>-7.4291978823029572</v>
      </c>
      <c r="L864" s="304">
        <f t="shared" ca="1" si="377"/>
        <v>780.64120565586154</v>
      </c>
      <c r="M864" s="306">
        <f t="shared" ca="1" si="393"/>
        <v>-1.4691202266139205</v>
      </c>
      <c r="N864" s="304">
        <f t="shared" ca="1" si="394"/>
        <v>-84.174388582280727</v>
      </c>
      <c r="P864" s="310">
        <f t="shared" ca="1" si="395"/>
        <v>23</v>
      </c>
      <c r="Q864" s="304">
        <f t="shared" ca="1" si="396"/>
        <v>0</v>
      </c>
      <c r="R864" s="306">
        <f t="shared" ca="1" si="397"/>
        <v>0</v>
      </c>
      <c r="S864" s="307">
        <f t="shared" ca="1" si="398"/>
        <v>8.0499999999999989</v>
      </c>
      <c r="T864" s="304">
        <f t="shared" ca="1" si="378"/>
        <v>78.970499999999987</v>
      </c>
      <c r="U864" s="311">
        <f t="shared" ca="1" si="379"/>
        <v>0</v>
      </c>
      <c r="V864" s="306">
        <f t="shared" ca="1" si="380"/>
        <v>1.225910414923213</v>
      </c>
      <c r="W864" s="304">
        <f t="shared" ca="1" si="381"/>
        <v>58.339665398772766</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2.5122097770334086</v>
      </c>
      <c r="AH864" s="304">
        <f t="shared" ca="1" si="405"/>
        <v>-7.2471250578929922</v>
      </c>
    </row>
    <row r="865" spans="1:34" x14ac:dyDescent="0.3">
      <c r="A865" s="347">
        <f t="shared" ca="1" si="383"/>
        <v>1E-4</v>
      </c>
      <c r="B865" s="304">
        <f t="shared" ca="1" si="384"/>
        <v>33.934200000001347</v>
      </c>
      <c r="D865" s="306">
        <f t="shared" ca="1" si="385"/>
        <v>-0.73559434926492673</v>
      </c>
      <c r="E865" s="307">
        <f t="shared" ca="1" si="386"/>
        <v>-2.6002650290433333</v>
      </c>
      <c r="F865" s="304">
        <f t="shared" ca="1" si="387"/>
        <v>2.7023096173340719</v>
      </c>
      <c r="G865" s="306">
        <f t="shared" ca="1" si="388"/>
        <v>12.561145432116986</v>
      </c>
      <c r="H865" s="307">
        <f t="shared" ca="1" si="389"/>
        <v>-123.11575150864348</v>
      </c>
      <c r="I865" s="304">
        <f t="shared" ca="1" si="390"/>
        <v>123.75488129405177</v>
      </c>
      <c r="J865" s="306">
        <f t="shared" ca="1" si="391"/>
        <v>780.60585379989482</v>
      </c>
      <c r="K865" s="307">
        <f t="shared" ca="1" si="392"/>
        <v>-7.4415094444524961</v>
      </c>
      <c r="L865" s="304">
        <f t="shared" ca="1" si="377"/>
        <v>780.64132291947919</v>
      </c>
      <c r="M865" s="306">
        <f t="shared" ca="1" si="393"/>
        <v>-1.4691210312083107</v>
      </c>
      <c r="N865" s="304">
        <f t="shared" ca="1" si="394"/>
        <v>-84.174434682143499</v>
      </c>
      <c r="P865" s="310">
        <f t="shared" ca="1" si="395"/>
        <v>23</v>
      </c>
      <c r="Q865" s="304">
        <f t="shared" ca="1" si="396"/>
        <v>0</v>
      </c>
      <c r="R865" s="306">
        <f t="shared" ca="1" si="397"/>
        <v>0</v>
      </c>
      <c r="S865" s="307">
        <f t="shared" ca="1" si="398"/>
        <v>8.0499999999999989</v>
      </c>
      <c r="T865" s="304">
        <f t="shared" ca="1" si="378"/>
        <v>78.970499999999987</v>
      </c>
      <c r="U865" s="311">
        <f t="shared" ca="1" si="379"/>
        <v>0</v>
      </c>
      <c r="V865" s="306">
        <f t="shared" ca="1" si="380"/>
        <v>1.225911924211577</v>
      </c>
      <c r="W865" s="304">
        <f t="shared" ca="1" si="381"/>
        <v>58.339974079271364</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2.5121722325178597</v>
      </c>
      <c r="AH865" s="304">
        <f t="shared" ca="1" si="405"/>
        <v>-7.247163403574258</v>
      </c>
    </row>
    <row r="866" spans="1:34" x14ac:dyDescent="0.3">
      <c r="A866" s="347">
        <f t="shared" ca="1" si="383"/>
        <v>1E-4</v>
      </c>
      <c r="B866" s="304">
        <f t="shared" ca="1" si="384"/>
        <v>33.93430000000135</v>
      </c>
      <c r="D866" s="306">
        <f t="shared" ca="1" si="385"/>
        <v>-0.73559244041857674</v>
      </c>
      <c r="E866" s="307">
        <f t="shared" ca="1" si="386"/>
        <v>-2.600226289821153</v>
      </c>
      <c r="F866" s="304">
        <f t="shared" ca="1" si="387"/>
        <v>2.7022718213899277</v>
      </c>
      <c r="G866" s="306">
        <f t="shared" ca="1" si="388"/>
        <v>12.561071872872944</v>
      </c>
      <c r="H866" s="307">
        <f t="shared" ca="1" si="389"/>
        <v>-123.11601153127246</v>
      </c>
      <c r="I866" s="304">
        <f t="shared" ca="1" si="390"/>
        <v>123.75513250756065</v>
      </c>
      <c r="J866" s="306">
        <f t="shared" ca="1" si="391"/>
        <v>780.60585379989482</v>
      </c>
      <c r="K866" s="307">
        <f t="shared" ca="1" si="392"/>
        <v>-7.453821032604492</v>
      </c>
      <c r="L866" s="304">
        <f t="shared" ca="1" si="377"/>
        <v>780.64144037749418</v>
      </c>
      <c r="M866" s="306">
        <f t="shared" ca="1" si="393"/>
        <v>-1.4691218357947227</v>
      </c>
      <c r="N866" s="304">
        <f t="shared" ca="1" si="394"/>
        <v>-84.174480781549164</v>
      </c>
      <c r="P866" s="310">
        <f t="shared" ca="1" si="395"/>
        <v>23</v>
      </c>
      <c r="Q866" s="304">
        <f t="shared" ca="1" si="396"/>
        <v>0</v>
      </c>
      <c r="R866" s="306">
        <f t="shared" ca="1" si="397"/>
        <v>0</v>
      </c>
      <c r="S866" s="307">
        <f t="shared" ca="1" si="398"/>
        <v>8.0499999999999989</v>
      </c>
      <c r="T866" s="304">
        <f t="shared" ca="1" si="378"/>
        <v>78.970499999999987</v>
      </c>
      <c r="U866" s="311">
        <f t="shared" ca="1" si="379"/>
        <v>0</v>
      </c>
      <c r="V866" s="306">
        <f t="shared" ca="1" si="380"/>
        <v>1.2259134335049875</v>
      </c>
      <c r="W866" s="304">
        <f t="shared" ca="1" si="381"/>
        <v>58.340282757534318</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2.5121346882657623</v>
      </c>
      <c r="AH866" s="304">
        <f t="shared" ca="1" si="405"/>
        <v>-7.24720174897781</v>
      </c>
    </row>
    <row r="867" spans="1:34" x14ac:dyDescent="0.3">
      <c r="A867" s="347">
        <f t="shared" ca="1" si="383"/>
        <v>1E-4</v>
      </c>
      <c r="B867" s="304">
        <f t="shared" ca="1" si="384"/>
        <v>33.934400000001354</v>
      </c>
      <c r="D867" s="306">
        <f t="shared" ca="1" si="385"/>
        <v>-0.73559053153969789</v>
      </c>
      <c r="E867" s="307">
        <f t="shared" ca="1" si="386"/>
        <v>-2.6001875508795296</v>
      </c>
      <c r="F867" s="304">
        <f t="shared" ca="1" si="387"/>
        <v>2.7022340257349549</v>
      </c>
      <c r="G867" s="306">
        <f t="shared" ca="1" si="388"/>
        <v>12.560998313819789</v>
      </c>
      <c r="H867" s="307">
        <f t="shared" ca="1" si="389"/>
        <v>-123.11627155002755</v>
      </c>
      <c r="I867" s="304">
        <f t="shared" ca="1" si="390"/>
        <v>123.75538371731513</v>
      </c>
      <c r="J867" s="306">
        <f t="shared" ca="1" si="391"/>
        <v>780.60585379989482</v>
      </c>
      <c r="K867" s="307">
        <f t="shared" ca="1" si="392"/>
        <v>-7.4661326467585569</v>
      </c>
      <c r="L867" s="304">
        <f t="shared" ca="1" si="377"/>
        <v>780.64155802990763</v>
      </c>
      <c r="M867" s="306">
        <f t="shared" ca="1" si="393"/>
        <v>-1.4691226403731563</v>
      </c>
      <c r="N867" s="304">
        <f t="shared" ca="1" si="394"/>
        <v>-84.174526880497694</v>
      </c>
      <c r="P867" s="310">
        <f t="shared" ca="1" si="395"/>
        <v>23</v>
      </c>
      <c r="Q867" s="304">
        <f t="shared" ca="1" si="396"/>
        <v>0</v>
      </c>
      <c r="R867" s="306">
        <f t="shared" ca="1" si="397"/>
        <v>0</v>
      </c>
      <c r="S867" s="307">
        <f t="shared" ca="1" si="398"/>
        <v>8.0499999999999989</v>
      </c>
      <c r="T867" s="304">
        <f t="shared" ca="1" si="378"/>
        <v>78.970499999999987</v>
      </c>
      <c r="U867" s="311">
        <f t="shared" ca="1" si="379"/>
        <v>0</v>
      </c>
      <c r="V867" s="306">
        <f t="shared" ca="1" si="380"/>
        <v>1.2259149428034448</v>
      </c>
      <c r="W867" s="304">
        <f t="shared" ca="1" si="381"/>
        <v>58.34059143356167</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2.5120971442771234</v>
      </c>
      <c r="AH867" s="304">
        <f t="shared" ca="1" si="405"/>
        <v>-7.2472400941036428</v>
      </c>
    </row>
    <row r="868" spans="1:34" x14ac:dyDescent="0.3">
      <c r="A868" s="347">
        <f t="shared" ca="1" si="383"/>
        <v>1E-4</v>
      </c>
      <c r="B868" s="304">
        <f t="shared" ca="1" si="384"/>
        <v>33.934500000001357</v>
      </c>
      <c r="D868" s="306">
        <f t="shared" ca="1" si="385"/>
        <v>-0.73558862262829217</v>
      </c>
      <c r="E868" s="307">
        <f t="shared" ca="1" si="386"/>
        <v>-2.6001488122184604</v>
      </c>
      <c r="F868" s="304">
        <f t="shared" ca="1" si="387"/>
        <v>2.7021962303691525</v>
      </c>
      <c r="G868" s="306">
        <f t="shared" ca="1" si="388"/>
        <v>12.560924754957526</v>
      </c>
      <c r="H868" s="307">
        <f t="shared" ca="1" si="389"/>
        <v>-123.11653156490877</v>
      </c>
      <c r="I868" s="304">
        <f t="shared" ca="1" si="390"/>
        <v>123.75563492331523</v>
      </c>
      <c r="J868" s="306">
        <f t="shared" ca="1" si="391"/>
        <v>780.60585379989482</v>
      </c>
      <c r="K868" s="307">
        <f t="shared" ca="1" si="392"/>
        <v>-7.4784442869143035</v>
      </c>
      <c r="L868" s="304">
        <f t="shared" ca="1" si="377"/>
        <v>780.6416758767208</v>
      </c>
      <c r="M868" s="306">
        <f t="shared" ca="1" si="393"/>
        <v>-1.4691234449436121</v>
      </c>
      <c r="N868" s="304">
        <f t="shared" ca="1" si="394"/>
        <v>-84.174572978989133</v>
      </c>
      <c r="P868" s="310">
        <f t="shared" ca="1" si="395"/>
        <v>23</v>
      </c>
      <c r="Q868" s="304">
        <f t="shared" ca="1" si="396"/>
        <v>0</v>
      </c>
      <c r="R868" s="306">
        <f t="shared" ca="1" si="397"/>
        <v>0</v>
      </c>
      <c r="S868" s="307">
        <f t="shared" ca="1" si="398"/>
        <v>8.0499999999999989</v>
      </c>
      <c r="T868" s="304">
        <f t="shared" ca="1" si="378"/>
        <v>78.970499999999987</v>
      </c>
      <c r="U868" s="311">
        <f t="shared" ca="1" si="379"/>
        <v>0</v>
      </c>
      <c r="V868" s="306">
        <f t="shared" ca="1" si="380"/>
        <v>1.2259164521069481</v>
      </c>
      <c r="W868" s="304">
        <f t="shared" ca="1" si="381"/>
        <v>58.340900107353356</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2.5120596005519387</v>
      </c>
      <c r="AH868" s="304">
        <f t="shared" ca="1" si="405"/>
        <v>-7.2472784389517608</v>
      </c>
    </row>
    <row r="869" spans="1:34" x14ac:dyDescent="0.3">
      <c r="A869" s="347">
        <f t="shared" ca="1" si="383"/>
        <v>1E-4</v>
      </c>
      <c r="B869" s="304">
        <f t="shared" ca="1" si="384"/>
        <v>33.93460000000136</v>
      </c>
      <c r="D869" s="306">
        <f t="shared" ca="1" si="385"/>
        <v>-0.73558671368435724</v>
      </c>
      <c r="E869" s="307">
        <f t="shared" ca="1" si="386"/>
        <v>-2.6001100738379517</v>
      </c>
      <c r="F869" s="304">
        <f t="shared" ca="1" si="387"/>
        <v>2.7021584352925259</v>
      </c>
      <c r="G869" s="306">
        <f t="shared" ca="1" si="388"/>
        <v>12.560851196286157</v>
      </c>
      <c r="H869" s="307">
        <f t="shared" ca="1" si="389"/>
        <v>-123.11679157591615</v>
      </c>
      <c r="I869" s="304">
        <f t="shared" ca="1" si="390"/>
        <v>123.75588612556101</v>
      </c>
      <c r="J869" s="306">
        <f t="shared" ca="1" si="391"/>
        <v>780.60585379989482</v>
      </c>
      <c r="K869" s="307">
        <f t="shared" ca="1" si="392"/>
        <v>-7.4907559530713446</v>
      </c>
      <c r="L869" s="304">
        <f t="shared" ca="1" si="377"/>
        <v>780.64179391793471</v>
      </c>
      <c r="M869" s="306">
        <f t="shared" ca="1" si="393"/>
        <v>-1.4691242495060899</v>
      </c>
      <c r="N869" s="304">
        <f t="shared" ca="1" si="394"/>
        <v>-84.174619077023465</v>
      </c>
      <c r="P869" s="310">
        <f t="shared" ca="1" si="395"/>
        <v>23</v>
      </c>
      <c r="Q869" s="304">
        <f t="shared" ca="1" si="396"/>
        <v>0</v>
      </c>
      <c r="R869" s="306">
        <f t="shared" ca="1" si="397"/>
        <v>0</v>
      </c>
      <c r="S869" s="307">
        <f t="shared" ca="1" si="398"/>
        <v>8.0499999999999989</v>
      </c>
      <c r="T869" s="304">
        <f t="shared" ca="1" si="378"/>
        <v>78.970499999999987</v>
      </c>
      <c r="U869" s="311">
        <f t="shared" ca="1" si="379"/>
        <v>0</v>
      </c>
      <c r="V869" s="306">
        <f t="shared" ca="1" si="380"/>
        <v>1.2259179614154985</v>
      </c>
      <c r="W869" s="304">
        <f t="shared" ca="1" si="381"/>
        <v>58.341208778909468</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2.5120220570902116</v>
      </c>
      <c r="AH869" s="304">
        <f t="shared" ca="1" si="405"/>
        <v>-7.247316783522157</v>
      </c>
    </row>
    <row r="870" spans="1:34" x14ac:dyDescent="0.3">
      <c r="A870" s="347">
        <f t="shared" ca="1" si="383"/>
        <v>1E-4</v>
      </c>
      <c r="B870" s="304">
        <f t="shared" ca="1" si="384"/>
        <v>33.934700000001364</v>
      </c>
      <c r="D870" s="306">
        <f t="shared" ca="1" si="385"/>
        <v>-0.73558480470789744</v>
      </c>
      <c r="E870" s="307">
        <f t="shared" ca="1" si="386"/>
        <v>-2.6000713357379936</v>
      </c>
      <c r="F870" s="304">
        <f t="shared" ca="1" si="387"/>
        <v>2.7021206405050662</v>
      </c>
      <c r="G870" s="306">
        <f t="shared" ca="1" si="388"/>
        <v>12.560777637805685</v>
      </c>
      <c r="H870" s="307">
        <f t="shared" ca="1" si="389"/>
        <v>-123.11705158304973</v>
      </c>
      <c r="I870" s="304">
        <f t="shared" ca="1" si="390"/>
        <v>123.75613732405245</v>
      </c>
      <c r="J870" s="306">
        <f t="shared" ca="1" si="391"/>
        <v>780.60585379989482</v>
      </c>
      <c r="K870" s="307">
        <f t="shared" ca="1" si="392"/>
        <v>-7.5030676452292928</v>
      </c>
      <c r="L870" s="304">
        <f t="shared" ca="1" si="377"/>
        <v>780.64191215355049</v>
      </c>
      <c r="M870" s="306">
        <f t="shared" ca="1" si="393"/>
        <v>-1.4691250540605898</v>
      </c>
      <c r="N870" s="304">
        <f t="shared" ca="1" si="394"/>
        <v>-84.174665174600705</v>
      </c>
      <c r="P870" s="310">
        <f t="shared" ca="1" si="395"/>
        <v>23</v>
      </c>
      <c r="Q870" s="304">
        <f t="shared" ca="1" si="396"/>
        <v>0</v>
      </c>
      <c r="R870" s="306">
        <f t="shared" ca="1" si="397"/>
        <v>0</v>
      </c>
      <c r="S870" s="307">
        <f t="shared" ca="1" si="398"/>
        <v>8.0499999999999989</v>
      </c>
      <c r="T870" s="304">
        <f t="shared" ca="1" si="378"/>
        <v>78.970499999999987</v>
      </c>
      <c r="U870" s="311">
        <f t="shared" ca="1" si="379"/>
        <v>0</v>
      </c>
      <c r="V870" s="306">
        <f t="shared" ca="1" si="380"/>
        <v>1.2259194707290946</v>
      </c>
      <c r="W870" s="304">
        <f t="shared" ca="1" si="381"/>
        <v>58.341517448229858</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2.511984513891937</v>
      </c>
      <c r="AH870" s="304">
        <f t="shared" ca="1" si="405"/>
        <v>-7.247355127814842</v>
      </c>
    </row>
    <row r="871" spans="1:34" x14ac:dyDescent="0.3">
      <c r="A871" s="347">
        <f t="shared" ca="1" si="383"/>
        <v>1E-4</v>
      </c>
      <c r="B871" s="304">
        <f t="shared" ca="1" si="384"/>
        <v>33.934800000001367</v>
      </c>
      <c r="D871" s="306">
        <f t="shared" ca="1" si="385"/>
        <v>-0.73558289569891078</v>
      </c>
      <c r="E871" s="307">
        <f t="shared" ca="1" si="386"/>
        <v>-2.6000325979186032</v>
      </c>
      <c r="F871" s="304">
        <f t="shared" ca="1" si="387"/>
        <v>2.7020828460067903</v>
      </c>
      <c r="G871" s="306">
        <f t="shared" ca="1" si="388"/>
        <v>12.560704079516116</v>
      </c>
      <c r="H871" s="307">
        <f t="shared" ca="1" si="389"/>
        <v>-123.11731158630953</v>
      </c>
      <c r="I871" s="304">
        <f t="shared" ca="1" si="390"/>
        <v>123.75638851878961</v>
      </c>
      <c r="J871" s="306">
        <f t="shared" ca="1" si="391"/>
        <v>780.60585379989482</v>
      </c>
      <c r="K871" s="307">
        <f t="shared" ca="1" si="392"/>
        <v>-7.515379363387761</v>
      </c>
      <c r="L871" s="304">
        <f t="shared" ca="1" si="377"/>
        <v>780.64203058356929</v>
      </c>
      <c r="M871" s="306">
        <f t="shared" ca="1" si="393"/>
        <v>-1.4691258586071119</v>
      </c>
      <c r="N871" s="304">
        <f t="shared" ca="1" si="394"/>
        <v>-84.174711271720838</v>
      </c>
      <c r="P871" s="310">
        <f t="shared" ca="1" si="395"/>
        <v>23</v>
      </c>
      <c r="Q871" s="304">
        <f t="shared" ca="1" si="396"/>
        <v>0</v>
      </c>
      <c r="R871" s="306">
        <f t="shared" ca="1" si="397"/>
        <v>0</v>
      </c>
      <c r="S871" s="307">
        <f t="shared" ca="1" si="398"/>
        <v>8.0499999999999989</v>
      </c>
      <c r="T871" s="304">
        <f t="shared" ca="1" si="378"/>
        <v>78.970499999999987</v>
      </c>
      <c r="U871" s="311">
        <f t="shared" ca="1" si="379"/>
        <v>0</v>
      </c>
      <c r="V871" s="306">
        <f t="shared" ca="1" si="380"/>
        <v>1.2259209800477373</v>
      </c>
      <c r="W871" s="304">
        <f t="shared" ca="1" si="381"/>
        <v>58.341826115314639</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2.5119469709571316</v>
      </c>
      <c r="AH871" s="304">
        <f t="shared" ca="1" si="405"/>
        <v>-7.2473934718297972</v>
      </c>
    </row>
    <row r="872" spans="1:34" x14ac:dyDescent="0.3">
      <c r="A872" s="347">
        <f t="shared" ca="1" si="383"/>
        <v>1E-4</v>
      </c>
      <c r="B872" s="304">
        <f t="shared" ca="1" si="384"/>
        <v>33.93490000000137</v>
      </c>
      <c r="D872" s="306">
        <f t="shared" ca="1" si="385"/>
        <v>-0.73558098665740013</v>
      </c>
      <c r="E872" s="307">
        <f t="shared" ca="1" si="386"/>
        <v>-2.5999938603797688</v>
      </c>
      <c r="F872" s="304">
        <f t="shared" ca="1" si="387"/>
        <v>2.7020450517976875</v>
      </c>
      <c r="G872" s="306">
        <f t="shared" ca="1" si="388"/>
        <v>12.560630521417449</v>
      </c>
      <c r="H872" s="307">
        <f t="shared" ca="1" si="389"/>
        <v>-123.11757158569556</v>
      </c>
      <c r="I872" s="304">
        <f t="shared" ca="1" si="390"/>
        <v>123.75663970977247</v>
      </c>
      <c r="J872" s="306">
        <f t="shared" ca="1" si="391"/>
        <v>780.60585379989482</v>
      </c>
      <c r="K872" s="307">
        <f t="shared" ca="1" si="392"/>
        <v>-7.5276911075463611</v>
      </c>
      <c r="L872" s="304">
        <f t="shared" ca="1" si="377"/>
        <v>780.64214920799236</v>
      </c>
      <c r="M872" s="306">
        <f t="shared" ca="1" si="393"/>
        <v>-1.4691266631456565</v>
      </c>
      <c r="N872" s="304">
        <f t="shared" ca="1" si="394"/>
        <v>-84.174757368383908</v>
      </c>
      <c r="P872" s="310">
        <f t="shared" ca="1" si="395"/>
        <v>23</v>
      </c>
      <c r="Q872" s="304">
        <f t="shared" ca="1" si="396"/>
        <v>0</v>
      </c>
      <c r="R872" s="306">
        <f t="shared" ca="1" si="397"/>
        <v>0</v>
      </c>
      <c r="S872" s="307">
        <f t="shared" ca="1" si="398"/>
        <v>8.0499999999999989</v>
      </c>
      <c r="T872" s="304">
        <f t="shared" ca="1" si="378"/>
        <v>78.970499999999987</v>
      </c>
      <c r="U872" s="311">
        <f t="shared" ca="1" si="379"/>
        <v>0</v>
      </c>
      <c r="V872" s="306">
        <f t="shared" ca="1" si="380"/>
        <v>1.2259224893714262</v>
      </c>
      <c r="W872" s="304">
        <f t="shared" ca="1" si="381"/>
        <v>58.342134780163711</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2.5119094282857795</v>
      </c>
      <c r="AH872" s="304">
        <f t="shared" ca="1" si="405"/>
        <v>-7.2474318155670368</v>
      </c>
    </row>
    <row r="873" spans="1:34" x14ac:dyDescent="0.3">
      <c r="A873" s="347">
        <f t="shared" ca="1" si="383"/>
        <v>1E-4</v>
      </c>
      <c r="B873" s="304">
        <f t="shared" ca="1" si="384"/>
        <v>33.935000000001374</v>
      </c>
      <c r="D873" s="306">
        <f t="shared" ca="1" si="385"/>
        <v>-0.73557907758336305</v>
      </c>
      <c r="E873" s="307">
        <f t="shared" ca="1" si="386"/>
        <v>-2.5999551231214992</v>
      </c>
      <c r="F873" s="304">
        <f t="shared" ca="1" si="387"/>
        <v>2.7020072578777654</v>
      </c>
      <c r="G873" s="306">
        <f t="shared" ca="1" si="388"/>
        <v>12.560556963509692</v>
      </c>
      <c r="H873" s="307">
        <f t="shared" ca="1" si="389"/>
        <v>-123.11783158120787</v>
      </c>
      <c r="I873" s="304">
        <f t="shared" ca="1" si="390"/>
        <v>123.75689089700111</v>
      </c>
      <c r="J873" s="306">
        <f t="shared" ca="1" si="391"/>
        <v>780.60585379989482</v>
      </c>
      <c r="K873" s="307">
        <f t="shared" ca="1" si="392"/>
        <v>-7.5400028777047066</v>
      </c>
      <c r="L873" s="304">
        <f t="shared" ca="1" si="377"/>
        <v>780.64226802682072</v>
      </c>
      <c r="M873" s="306">
        <f t="shared" ca="1" si="393"/>
        <v>-1.4691274676762236</v>
      </c>
      <c r="N873" s="304">
        <f t="shared" ca="1" si="394"/>
        <v>-84.174803464589885</v>
      </c>
      <c r="P873" s="310">
        <f t="shared" ca="1" si="395"/>
        <v>23</v>
      </c>
      <c r="Q873" s="304">
        <f t="shared" ca="1" si="396"/>
        <v>0</v>
      </c>
      <c r="R873" s="306">
        <f t="shared" ca="1" si="397"/>
        <v>0</v>
      </c>
      <c r="S873" s="307">
        <f t="shared" ca="1" si="398"/>
        <v>8.0499999999999989</v>
      </c>
      <c r="T873" s="304">
        <f t="shared" ca="1" si="378"/>
        <v>78.970499999999987</v>
      </c>
      <c r="U873" s="311">
        <f t="shared" ca="1" si="379"/>
        <v>0</v>
      </c>
      <c r="V873" s="306">
        <f t="shared" ca="1" si="380"/>
        <v>1.2259239987001618</v>
      </c>
      <c r="W873" s="304">
        <f t="shared" ca="1" si="381"/>
        <v>58.342443442777153</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2.5118718858778957</v>
      </c>
      <c r="AH873" s="304">
        <f t="shared" ca="1" si="405"/>
        <v>-7.2474701590265491</v>
      </c>
    </row>
    <row r="874" spans="1:34" x14ac:dyDescent="0.3">
      <c r="A874" s="347">
        <f t="shared" ca="1" si="383"/>
        <v>1E-4</v>
      </c>
      <c r="B874" s="304">
        <f t="shared" ca="1" si="384"/>
        <v>33.935100000001377</v>
      </c>
      <c r="D874" s="306">
        <f t="shared" ca="1" si="385"/>
        <v>-0.73557716847680354</v>
      </c>
      <c r="E874" s="307">
        <f t="shared" ca="1" si="386"/>
        <v>-2.5999163861437875</v>
      </c>
      <c r="F874" s="304">
        <f t="shared" ca="1" si="387"/>
        <v>2.7019694642470191</v>
      </c>
      <c r="G874" s="306">
        <f t="shared" ca="1" si="388"/>
        <v>12.560483405792844</v>
      </c>
      <c r="H874" s="307">
        <f t="shared" ca="1" si="389"/>
        <v>-123.11809157284648</v>
      </c>
      <c r="I874" s="304">
        <f t="shared" ca="1" si="390"/>
        <v>123.75714208047555</v>
      </c>
      <c r="J874" s="306">
        <f t="shared" ca="1" si="391"/>
        <v>780.60585379989482</v>
      </c>
      <c r="K874" s="307">
        <f t="shared" ca="1" si="392"/>
        <v>-7.5523146738624094</v>
      </c>
      <c r="L874" s="304">
        <f t="shared" ca="1" si="377"/>
        <v>780.6423870400555</v>
      </c>
      <c r="M874" s="306">
        <f t="shared" ca="1" si="393"/>
        <v>-1.4691282721988135</v>
      </c>
      <c r="N874" s="304">
        <f t="shared" ca="1" si="394"/>
        <v>-84.174849560338814</v>
      </c>
      <c r="P874" s="310">
        <f t="shared" ca="1" si="395"/>
        <v>23</v>
      </c>
      <c r="Q874" s="304">
        <f t="shared" ca="1" si="396"/>
        <v>0</v>
      </c>
      <c r="R874" s="306">
        <f t="shared" ca="1" si="397"/>
        <v>0</v>
      </c>
      <c r="S874" s="307">
        <f t="shared" ca="1" si="398"/>
        <v>8.0499999999999989</v>
      </c>
      <c r="T874" s="304">
        <f t="shared" ca="1" si="378"/>
        <v>78.970499999999987</v>
      </c>
      <c r="U874" s="311">
        <f t="shared" ca="1" si="379"/>
        <v>0</v>
      </c>
      <c r="V874" s="306">
        <f t="shared" ca="1" si="380"/>
        <v>1.2259255080339437</v>
      </c>
      <c r="W874" s="304">
        <f t="shared" ca="1" si="381"/>
        <v>58.342752103154936</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2.5118343437334678</v>
      </c>
      <c r="AH874" s="304">
        <f t="shared" ca="1" si="405"/>
        <v>-7.2475085022083432</v>
      </c>
    </row>
    <row r="875" spans="1:34" x14ac:dyDescent="0.3">
      <c r="A875" s="347">
        <f t="shared" ca="1" si="383"/>
        <v>1E-4</v>
      </c>
      <c r="B875" s="304">
        <f t="shared" ca="1" si="384"/>
        <v>33.93520000000138</v>
      </c>
      <c r="D875" s="306">
        <f t="shared" ca="1" si="385"/>
        <v>-0.7355752593377195</v>
      </c>
      <c r="E875" s="307">
        <f t="shared" ca="1" si="386"/>
        <v>-2.5998776494466362</v>
      </c>
      <c r="F875" s="304">
        <f t="shared" ca="1" si="387"/>
        <v>2.7019316709054504</v>
      </c>
      <c r="G875" s="306">
        <f t="shared" ca="1" si="388"/>
        <v>12.560409848266911</v>
      </c>
      <c r="H875" s="307">
        <f t="shared" ca="1" si="389"/>
        <v>-123.11835156061143</v>
      </c>
      <c r="I875" s="304">
        <f t="shared" ca="1" si="390"/>
        <v>123.75739326019578</v>
      </c>
      <c r="J875" s="306">
        <f t="shared" ca="1" si="391"/>
        <v>780.60585379989482</v>
      </c>
      <c r="K875" s="307">
        <f t="shared" ca="1" si="392"/>
        <v>-7.5646264960190823</v>
      </c>
      <c r="L875" s="304">
        <f t="shared" ca="1" si="377"/>
        <v>780.64250624769784</v>
      </c>
      <c r="M875" s="306">
        <f t="shared" ca="1" si="393"/>
        <v>-1.469129076713426</v>
      </c>
      <c r="N875" s="304">
        <f t="shared" ca="1" si="394"/>
        <v>-84.174895655630664</v>
      </c>
      <c r="P875" s="310">
        <f t="shared" ca="1" si="395"/>
        <v>23</v>
      </c>
      <c r="Q875" s="304">
        <f t="shared" ca="1" si="396"/>
        <v>0</v>
      </c>
      <c r="R875" s="306">
        <f t="shared" ca="1" si="397"/>
        <v>0</v>
      </c>
      <c r="S875" s="307">
        <f t="shared" ca="1" si="398"/>
        <v>8.0499999999999989</v>
      </c>
      <c r="T875" s="304">
        <f t="shared" ca="1" si="378"/>
        <v>78.970499999999987</v>
      </c>
      <c r="U875" s="311">
        <f t="shared" ca="1" si="379"/>
        <v>0</v>
      </c>
      <c r="V875" s="306">
        <f t="shared" ca="1" si="380"/>
        <v>1.2259270173727714</v>
      </c>
      <c r="W875" s="304">
        <f t="shared" ca="1" si="381"/>
        <v>58.343060761296996</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2.511796801852503</v>
      </c>
      <c r="AH875" s="304">
        <f t="shared" ca="1" si="405"/>
        <v>-7.2475468451124154</v>
      </c>
    </row>
    <row r="876" spans="1:34" x14ac:dyDescent="0.3">
      <c r="A876" s="347">
        <f t="shared" ca="1" si="383"/>
        <v>1E-4</v>
      </c>
      <c r="B876" s="304">
        <f t="shared" ca="1" si="384"/>
        <v>33.935300000001384</v>
      </c>
      <c r="D876" s="306">
        <f t="shared" ca="1" si="385"/>
        <v>-0.73557335016611336</v>
      </c>
      <c r="E876" s="307">
        <f t="shared" ca="1" si="386"/>
        <v>-2.5998389130300525</v>
      </c>
      <c r="F876" s="304">
        <f t="shared" ca="1" si="387"/>
        <v>2.7018938778530672</v>
      </c>
      <c r="G876" s="306">
        <f t="shared" ca="1" si="388"/>
        <v>12.560336290931895</v>
      </c>
      <c r="H876" s="307">
        <f t="shared" ca="1" si="389"/>
        <v>-123.11861154450273</v>
      </c>
      <c r="I876" s="304">
        <f t="shared" ca="1" si="390"/>
        <v>123.75764443616184</v>
      </c>
      <c r="J876" s="306">
        <f t="shared" ca="1" si="391"/>
        <v>780.60585379989482</v>
      </c>
      <c r="K876" s="307">
        <f t="shared" ca="1" si="392"/>
        <v>-7.5769383441743381</v>
      </c>
      <c r="L876" s="304">
        <f t="shared" ca="1" si="377"/>
        <v>780.64262564974899</v>
      </c>
      <c r="M876" s="306">
        <f t="shared" ca="1" si="393"/>
        <v>-1.4691298812200615</v>
      </c>
      <c r="N876" s="304">
        <f t="shared" ca="1" si="394"/>
        <v>-84.174941750465464</v>
      </c>
      <c r="P876" s="310">
        <f t="shared" ca="1" si="395"/>
        <v>23</v>
      </c>
      <c r="Q876" s="304">
        <f t="shared" ca="1" si="396"/>
        <v>0</v>
      </c>
      <c r="R876" s="306">
        <f t="shared" ca="1" si="397"/>
        <v>0</v>
      </c>
      <c r="S876" s="307">
        <f t="shared" ca="1" si="398"/>
        <v>8.0499999999999989</v>
      </c>
      <c r="T876" s="304">
        <f t="shared" ca="1" si="378"/>
        <v>78.970499999999987</v>
      </c>
      <c r="U876" s="311">
        <f t="shared" ca="1" si="379"/>
        <v>0</v>
      </c>
      <c r="V876" s="306">
        <f t="shared" ca="1" si="380"/>
        <v>1.2259285267166455</v>
      </c>
      <c r="W876" s="304">
        <f t="shared" ca="1" si="381"/>
        <v>58.343369417203377</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2.5117592602350118</v>
      </c>
      <c r="AH876" s="304">
        <f t="shared" ca="1" si="405"/>
        <v>-7.2475851877387587</v>
      </c>
    </row>
    <row r="877" spans="1:34" x14ac:dyDescent="0.3">
      <c r="A877" s="347">
        <f t="shared" ca="1" si="383"/>
        <v>1E-4</v>
      </c>
      <c r="B877" s="304">
        <f t="shared" ca="1" si="384"/>
        <v>33.935400000001387</v>
      </c>
      <c r="D877" s="306">
        <f t="shared" ca="1" si="385"/>
        <v>-0.73557144096198401</v>
      </c>
      <c r="E877" s="307">
        <f t="shared" ca="1" si="386"/>
        <v>-2.5998001768940338</v>
      </c>
      <c r="F877" s="304">
        <f t="shared" ca="1" si="387"/>
        <v>2.7018560850898661</v>
      </c>
      <c r="G877" s="306">
        <f t="shared" ca="1" si="388"/>
        <v>12.560262733787798</v>
      </c>
      <c r="H877" s="307">
        <f t="shared" ca="1" si="389"/>
        <v>-123.11887152452042</v>
      </c>
      <c r="I877" s="304">
        <f t="shared" ca="1" si="390"/>
        <v>123.75789560837379</v>
      </c>
      <c r="J877" s="306">
        <f t="shared" ca="1" si="391"/>
        <v>780.60585379989482</v>
      </c>
      <c r="K877" s="307">
        <f t="shared" ca="1" si="392"/>
        <v>-7.5892502183277895</v>
      </c>
      <c r="L877" s="304">
        <f t="shared" ca="1" si="377"/>
        <v>780.64274524620998</v>
      </c>
      <c r="M877" s="306">
        <f t="shared" ca="1" si="393"/>
        <v>-1.4691306857187201</v>
      </c>
      <c r="N877" s="304">
        <f t="shared" ca="1" si="394"/>
        <v>-84.17498784484323</v>
      </c>
      <c r="P877" s="310">
        <f t="shared" ca="1" si="395"/>
        <v>23</v>
      </c>
      <c r="Q877" s="304">
        <f t="shared" ca="1" si="396"/>
        <v>0</v>
      </c>
      <c r="R877" s="306">
        <f t="shared" ca="1" si="397"/>
        <v>0</v>
      </c>
      <c r="S877" s="307">
        <f t="shared" ca="1" si="398"/>
        <v>8.0499999999999989</v>
      </c>
      <c r="T877" s="304">
        <f t="shared" ca="1" si="378"/>
        <v>78.970499999999987</v>
      </c>
      <c r="U877" s="311">
        <f t="shared" ca="1" si="379"/>
        <v>0</v>
      </c>
      <c r="V877" s="306">
        <f t="shared" ca="1" si="380"/>
        <v>1.2259300360655658</v>
      </c>
      <c r="W877" s="304">
        <f t="shared" ca="1" si="381"/>
        <v>58.34367807087407</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2.5117217188809837</v>
      </c>
      <c r="AH877" s="304">
        <f t="shared" ca="1" si="405"/>
        <v>-7.2476235300873766</v>
      </c>
    </row>
    <row r="878" spans="1:34" x14ac:dyDescent="0.3">
      <c r="A878" s="347">
        <f t="shared" ca="1" si="383"/>
        <v>1E-4</v>
      </c>
      <c r="B878" s="304">
        <f t="shared" ca="1" si="384"/>
        <v>33.93550000000139</v>
      </c>
      <c r="D878" s="306">
        <f t="shared" ca="1" si="385"/>
        <v>-0.73556953172533324</v>
      </c>
      <c r="E878" s="307">
        <f t="shared" ca="1" si="386"/>
        <v>-2.5997614410385772</v>
      </c>
      <c r="F878" s="304">
        <f t="shared" ca="1" si="387"/>
        <v>2.7018182926158461</v>
      </c>
      <c r="G878" s="306">
        <f t="shared" ca="1" si="388"/>
        <v>12.560189176834626</v>
      </c>
      <c r="H878" s="307">
        <f t="shared" ca="1" si="389"/>
        <v>-123.11913150066452</v>
      </c>
      <c r="I878" s="304">
        <f t="shared" ca="1" si="390"/>
        <v>123.75814677683161</v>
      </c>
      <c r="J878" s="306">
        <f t="shared" ca="1" si="391"/>
        <v>780.60585379989482</v>
      </c>
      <c r="K878" s="307">
        <f t="shared" ca="1" si="392"/>
        <v>-7.6015621184790483</v>
      </c>
      <c r="L878" s="304">
        <f t="shared" ca="1" si="377"/>
        <v>780.64286503708206</v>
      </c>
      <c r="M878" s="306">
        <f t="shared" ca="1" si="393"/>
        <v>-1.4691314902094017</v>
      </c>
      <c r="N878" s="304">
        <f t="shared" ca="1" si="394"/>
        <v>-84.175033938763946</v>
      </c>
      <c r="P878" s="310">
        <f t="shared" ca="1" si="395"/>
        <v>23</v>
      </c>
      <c r="Q878" s="304">
        <f t="shared" ca="1" si="396"/>
        <v>0</v>
      </c>
      <c r="R878" s="306">
        <f t="shared" ca="1" si="397"/>
        <v>0</v>
      </c>
      <c r="S878" s="307">
        <f t="shared" ca="1" si="398"/>
        <v>8.0499999999999989</v>
      </c>
      <c r="T878" s="304">
        <f t="shared" ca="1" si="378"/>
        <v>78.970499999999987</v>
      </c>
      <c r="U878" s="311">
        <f t="shared" ca="1" si="379"/>
        <v>0</v>
      </c>
      <c r="V878" s="306">
        <f t="shared" ca="1" si="380"/>
        <v>1.2259315454195323</v>
      </c>
      <c r="W878" s="304">
        <f t="shared" ca="1" si="381"/>
        <v>58.343986722309069</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2.5116841777904204</v>
      </c>
      <c r="AH878" s="304">
        <f t="shared" ca="1" si="405"/>
        <v>-7.2476618721582708</v>
      </c>
    </row>
    <row r="879" spans="1:34" x14ac:dyDescent="0.3">
      <c r="A879" s="347">
        <f t="shared" ca="1" si="383"/>
        <v>1E-4</v>
      </c>
      <c r="B879" s="304">
        <f t="shared" ca="1" si="384"/>
        <v>33.935600000001394</v>
      </c>
      <c r="D879" s="306">
        <f t="shared" ca="1" si="385"/>
        <v>-0.73556762245616225</v>
      </c>
      <c r="E879" s="307">
        <f t="shared" ca="1" si="386"/>
        <v>-2.5997227054636864</v>
      </c>
      <c r="F879" s="304">
        <f t="shared" ca="1" si="387"/>
        <v>2.7017805004310103</v>
      </c>
      <c r="G879" s="306">
        <f t="shared" ca="1" si="388"/>
        <v>12.560115620072381</v>
      </c>
      <c r="H879" s="307">
        <f t="shared" ca="1" si="389"/>
        <v>-123.11939147293506</v>
      </c>
      <c r="I879" s="304">
        <f t="shared" ca="1" si="390"/>
        <v>123.75839794153535</v>
      </c>
      <c r="J879" s="306">
        <f t="shared" ca="1" si="391"/>
        <v>780.60585379989482</v>
      </c>
      <c r="K879" s="307">
        <f t="shared" ca="1" si="392"/>
        <v>-7.6138740446277282</v>
      </c>
      <c r="L879" s="304">
        <f t="shared" ca="1" si="377"/>
        <v>780.64298502236613</v>
      </c>
      <c r="M879" s="306">
        <f t="shared" ca="1" si="393"/>
        <v>-1.4691322946921064</v>
      </c>
      <c r="N879" s="304">
        <f t="shared" ca="1" si="394"/>
        <v>-84.175080032227612</v>
      </c>
      <c r="P879" s="310">
        <f t="shared" ca="1" si="395"/>
        <v>23</v>
      </c>
      <c r="Q879" s="304">
        <f t="shared" ca="1" si="396"/>
        <v>0</v>
      </c>
      <c r="R879" s="306">
        <f t="shared" ca="1" si="397"/>
        <v>0</v>
      </c>
      <c r="S879" s="307">
        <f t="shared" ca="1" si="398"/>
        <v>8.0499999999999989</v>
      </c>
      <c r="T879" s="304">
        <f t="shared" ca="1" si="378"/>
        <v>78.970499999999987</v>
      </c>
      <c r="U879" s="311">
        <f t="shared" ca="1" si="379"/>
        <v>0</v>
      </c>
      <c r="V879" s="306">
        <f t="shared" ca="1" si="380"/>
        <v>1.2259330547785452</v>
      </c>
      <c r="W879" s="304">
        <f t="shared" ca="1" si="381"/>
        <v>58.344295371508359</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2.5116466369633272</v>
      </c>
      <c r="AH879" s="304">
        <f t="shared" ca="1" si="405"/>
        <v>-7.2477002139514379</v>
      </c>
    </row>
    <row r="880" spans="1:34" x14ac:dyDescent="0.3">
      <c r="A880" s="347">
        <f t="shared" ca="1" si="383"/>
        <v>1E-4</v>
      </c>
      <c r="B880" s="304">
        <f t="shared" ca="1" si="384"/>
        <v>33.935700000001397</v>
      </c>
      <c r="D880" s="306">
        <f t="shared" ca="1" si="385"/>
        <v>-0.7355657131544725</v>
      </c>
      <c r="E880" s="307">
        <f t="shared" ca="1" si="386"/>
        <v>-2.5996839701693624</v>
      </c>
      <c r="F880" s="304">
        <f t="shared" ca="1" si="387"/>
        <v>2.7017427085353605</v>
      </c>
      <c r="G880" s="306">
        <f t="shared" ca="1" si="388"/>
        <v>12.560042063501065</v>
      </c>
      <c r="H880" s="307">
        <f t="shared" ca="1" si="389"/>
        <v>-123.11965144133208</v>
      </c>
      <c r="I880" s="304">
        <f t="shared" ca="1" si="390"/>
        <v>123.75864910248504</v>
      </c>
      <c r="J880" s="306">
        <f t="shared" ca="1" si="391"/>
        <v>780.60585379989482</v>
      </c>
      <c r="K880" s="307">
        <f t="shared" ca="1" si="392"/>
        <v>-7.626185996773442</v>
      </c>
      <c r="L880" s="304">
        <f t="shared" ca="1" si="377"/>
        <v>780.64310520206357</v>
      </c>
      <c r="M880" s="306">
        <f t="shared" ca="1" si="393"/>
        <v>-1.4691330991668348</v>
      </c>
      <c r="N880" s="304">
        <f t="shared" ca="1" si="394"/>
        <v>-84.175126125234272</v>
      </c>
      <c r="P880" s="310">
        <f t="shared" ca="1" si="395"/>
        <v>23</v>
      </c>
      <c r="Q880" s="304">
        <f t="shared" ca="1" si="396"/>
        <v>0</v>
      </c>
      <c r="R880" s="306">
        <f t="shared" ca="1" si="397"/>
        <v>0</v>
      </c>
      <c r="S880" s="307">
        <f t="shared" ca="1" si="398"/>
        <v>8.0499999999999989</v>
      </c>
      <c r="T880" s="304">
        <f t="shared" ca="1" si="378"/>
        <v>78.970499999999987</v>
      </c>
      <c r="U880" s="311">
        <f t="shared" ca="1" si="379"/>
        <v>0</v>
      </c>
      <c r="V880" s="306">
        <f t="shared" ca="1" si="380"/>
        <v>1.2259345641426038</v>
      </c>
      <c r="W880" s="304">
        <f t="shared" ca="1" si="381"/>
        <v>58.344604018471934</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2.5116090963997024</v>
      </c>
      <c r="AH880" s="304">
        <f t="shared" ca="1" si="405"/>
        <v>-7.2477385554668778</v>
      </c>
    </row>
    <row r="881" spans="1:34" x14ac:dyDescent="0.3">
      <c r="A881" s="347">
        <f t="shared" ca="1" si="383"/>
        <v>1E-4</v>
      </c>
      <c r="B881" s="304">
        <f t="shared" ca="1" si="384"/>
        <v>33.9358000000014</v>
      </c>
      <c r="D881" s="306">
        <f t="shared" ca="1" si="385"/>
        <v>-0.73556380382026076</v>
      </c>
      <c r="E881" s="307">
        <f t="shared" ca="1" si="386"/>
        <v>-2.5996452351556059</v>
      </c>
      <c r="F881" s="304">
        <f t="shared" ca="1" si="387"/>
        <v>2.7017049169288967</v>
      </c>
      <c r="G881" s="306">
        <f t="shared" ca="1" si="388"/>
        <v>12.559968507120683</v>
      </c>
      <c r="H881" s="307">
        <f t="shared" ca="1" si="389"/>
        <v>-123.1199114058556</v>
      </c>
      <c r="I881" s="304">
        <f t="shared" ca="1" si="390"/>
        <v>123.7589002596807</v>
      </c>
      <c r="J881" s="306">
        <f t="shared" ca="1" si="391"/>
        <v>780.60585379989482</v>
      </c>
      <c r="K881" s="307">
        <f t="shared" ca="1" si="392"/>
        <v>-7.6384979749158015</v>
      </c>
      <c r="L881" s="304">
        <f t="shared" ca="1" si="377"/>
        <v>780.64322557617538</v>
      </c>
      <c r="M881" s="306">
        <f t="shared" ca="1" si="393"/>
        <v>-1.4691339036335864</v>
      </c>
      <c r="N881" s="304">
        <f t="shared" ca="1" si="394"/>
        <v>-84.175172217783896</v>
      </c>
      <c r="P881" s="310">
        <f t="shared" ca="1" si="395"/>
        <v>23</v>
      </c>
      <c r="Q881" s="304">
        <f t="shared" ca="1" si="396"/>
        <v>0</v>
      </c>
      <c r="R881" s="306">
        <f t="shared" ca="1" si="397"/>
        <v>0</v>
      </c>
      <c r="S881" s="307">
        <f t="shared" ca="1" si="398"/>
        <v>8.0499999999999989</v>
      </c>
      <c r="T881" s="304">
        <f t="shared" ca="1" si="378"/>
        <v>78.970499999999987</v>
      </c>
      <c r="U881" s="311">
        <f t="shared" ca="1" si="379"/>
        <v>0</v>
      </c>
      <c r="V881" s="306">
        <f t="shared" ca="1" si="380"/>
        <v>1.2259360735117084</v>
      </c>
      <c r="W881" s="304">
        <f t="shared" ca="1" si="381"/>
        <v>58.344912663199779</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2.5115715560995495</v>
      </c>
      <c r="AH881" s="304">
        <f t="shared" ca="1" si="405"/>
        <v>-7.2477768967045888</v>
      </c>
    </row>
    <row r="882" spans="1:34" x14ac:dyDescent="0.3">
      <c r="A882" s="347">
        <f t="shared" ca="1" si="383"/>
        <v>1E-4</v>
      </c>
      <c r="B882" s="304">
        <f t="shared" ca="1" si="384"/>
        <v>33.935900000001403</v>
      </c>
      <c r="D882" s="306">
        <f t="shared" ca="1" si="385"/>
        <v>-0.73556189445353171</v>
      </c>
      <c r="E882" s="307">
        <f t="shared" ca="1" si="386"/>
        <v>-2.5996065004224178</v>
      </c>
      <c r="F882" s="304">
        <f t="shared" ca="1" si="387"/>
        <v>2.7016671256116211</v>
      </c>
      <c r="G882" s="306">
        <f t="shared" ca="1" si="388"/>
        <v>12.559894950931238</v>
      </c>
      <c r="H882" s="307">
        <f t="shared" ca="1" si="389"/>
        <v>-123.12017136650564</v>
      </c>
      <c r="I882" s="304">
        <f t="shared" ca="1" si="390"/>
        <v>123.75915141312235</v>
      </c>
      <c r="J882" s="306">
        <f t="shared" ca="1" si="391"/>
        <v>780.60585379989482</v>
      </c>
      <c r="K882" s="307">
        <f t="shared" ca="1" si="392"/>
        <v>-7.6508099790544195</v>
      </c>
      <c r="L882" s="304">
        <f t="shared" ca="1" si="377"/>
        <v>780.64334614470283</v>
      </c>
      <c r="M882" s="306">
        <f t="shared" ca="1" si="393"/>
        <v>-1.4691347080923618</v>
      </c>
      <c r="N882" s="304">
        <f t="shared" ca="1" si="394"/>
        <v>-84.175218309876527</v>
      </c>
      <c r="P882" s="310">
        <f t="shared" ca="1" si="395"/>
        <v>23</v>
      </c>
      <c r="Q882" s="304">
        <f t="shared" ca="1" si="396"/>
        <v>0</v>
      </c>
      <c r="R882" s="306">
        <f t="shared" ca="1" si="397"/>
        <v>0</v>
      </c>
      <c r="S882" s="307">
        <f t="shared" ca="1" si="398"/>
        <v>8.0499999999999989</v>
      </c>
      <c r="T882" s="304">
        <f t="shared" ca="1" si="378"/>
        <v>78.970499999999987</v>
      </c>
      <c r="U882" s="311">
        <f t="shared" ca="1" si="379"/>
        <v>0</v>
      </c>
      <c r="V882" s="306">
        <f t="shared" ca="1" si="380"/>
        <v>1.2259375828858594</v>
      </c>
      <c r="W882" s="304">
        <f t="shared" ca="1" si="381"/>
        <v>58.345221305691922</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2.5115340160628694</v>
      </c>
      <c r="AH882" s="304">
        <f t="shared" ca="1" si="405"/>
        <v>-7.2478152376645699</v>
      </c>
    </row>
    <row r="883" spans="1:34" x14ac:dyDescent="0.3">
      <c r="A883" s="347">
        <f t="shared" ca="1" si="383"/>
        <v>1E-4</v>
      </c>
      <c r="B883" s="304">
        <f t="shared" ca="1" si="384"/>
        <v>33.936000000001407</v>
      </c>
      <c r="D883" s="306">
        <f t="shared" ca="1" si="385"/>
        <v>-0.73555998505428388</v>
      </c>
      <c r="E883" s="307">
        <f t="shared" ca="1" si="386"/>
        <v>-2.5995677659697964</v>
      </c>
      <c r="F883" s="304">
        <f t="shared" ca="1" si="387"/>
        <v>2.7016293345835316</v>
      </c>
      <c r="G883" s="306">
        <f t="shared" ca="1" si="388"/>
        <v>12.559821394932733</v>
      </c>
      <c r="H883" s="307">
        <f t="shared" ca="1" si="389"/>
        <v>-123.12043132328225</v>
      </c>
      <c r="I883" s="304">
        <f t="shared" ca="1" si="390"/>
        <v>123.75940256281004</v>
      </c>
      <c r="J883" s="306">
        <f t="shared" ca="1" si="391"/>
        <v>780.60585379989482</v>
      </c>
      <c r="K883" s="307">
        <f t="shared" ca="1" si="392"/>
        <v>-7.6631220091889087</v>
      </c>
      <c r="L883" s="304">
        <f t="shared" ca="1" si="377"/>
        <v>780.64346690764694</v>
      </c>
      <c r="M883" s="306">
        <f t="shared" ca="1" si="393"/>
        <v>-1.4691355125431609</v>
      </c>
      <c r="N883" s="304">
        <f t="shared" ca="1" si="394"/>
        <v>-84.175264401512138</v>
      </c>
      <c r="P883" s="310">
        <f t="shared" ca="1" si="395"/>
        <v>23</v>
      </c>
      <c r="Q883" s="304">
        <f t="shared" ca="1" si="396"/>
        <v>0</v>
      </c>
      <c r="R883" s="306">
        <f t="shared" ca="1" si="397"/>
        <v>0</v>
      </c>
      <c r="S883" s="307">
        <f t="shared" ca="1" si="398"/>
        <v>8.0499999999999989</v>
      </c>
      <c r="T883" s="304">
        <f t="shared" ca="1" si="378"/>
        <v>78.970499999999987</v>
      </c>
      <c r="U883" s="311">
        <f t="shared" ca="1" si="379"/>
        <v>0</v>
      </c>
      <c r="V883" s="306">
        <f t="shared" ca="1" si="380"/>
        <v>1.2259390922650557</v>
      </c>
      <c r="W883" s="304">
        <f t="shared" ca="1" si="381"/>
        <v>58.345529945948307</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2.5114964762896577</v>
      </c>
      <c r="AH883" s="304">
        <f t="shared" ca="1" si="405"/>
        <v>-7.2478535783468239</v>
      </c>
    </row>
    <row r="884" spans="1:34" x14ac:dyDescent="0.3">
      <c r="A884" s="347">
        <f t="shared" ca="1" si="383"/>
        <v>1E-4</v>
      </c>
      <c r="B884" s="304">
        <f t="shared" ca="1" si="384"/>
        <v>33.93610000000141</v>
      </c>
      <c r="D884" s="306">
        <f t="shared" ca="1" si="385"/>
        <v>-0.73555807562251818</v>
      </c>
      <c r="E884" s="307">
        <f t="shared" ca="1" si="386"/>
        <v>-2.599529031797748</v>
      </c>
      <c r="F884" s="304">
        <f t="shared" ca="1" si="387"/>
        <v>2.7015915438446352</v>
      </c>
      <c r="G884" s="306">
        <f t="shared" ca="1" si="388"/>
        <v>12.559747839125171</v>
      </c>
      <c r="H884" s="307">
        <f t="shared" ca="1" si="389"/>
        <v>-123.12069127618543</v>
      </c>
      <c r="I884" s="304">
        <f t="shared" ca="1" si="390"/>
        <v>123.75965370874376</v>
      </c>
      <c r="J884" s="306">
        <f t="shared" ca="1" si="391"/>
        <v>780.60585379989482</v>
      </c>
      <c r="K884" s="307">
        <f t="shared" ca="1" si="392"/>
        <v>-7.6754340653188819</v>
      </c>
      <c r="L884" s="304">
        <f t="shared" ca="1" si="377"/>
        <v>780.64358786500884</v>
      </c>
      <c r="M884" s="306">
        <f t="shared" ca="1" si="393"/>
        <v>-1.4691363169859837</v>
      </c>
      <c r="N884" s="304">
        <f t="shared" ca="1" si="394"/>
        <v>-84.175310492690741</v>
      </c>
      <c r="P884" s="310">
        <f t="shared" ca="1" si="395"/>
        <v>23</v>
      </c>
      <c r="Q884" s="304">
        <f t="shared" ca="1" si="396"/>
        <v>0</v>
      </c>
      <c r="R884" s="306">
        <f t="shared" ca="1" si="397"/>
        <v>0</v>
      </c>
      <c r="S884" s="307">
        <f t="shared" ca="1" si="398"/>
        <v>8.0499999999999989</v>
      </c>
      <c r="T884" s="304">
        <f t="shared" ca="1" si="378"/>
        <v>78.970499999999987</v>
      </c>
      <c r="U884" s="311">
        <f t="shared" ca="1" si="379"/>
        <v>0</v>
      </c>
      <c r="V884" s="306">
        <f t="shared" ca="1" si="380"/>
        <v>1.2259406016492989</v>
      </c>
      <c r="W884" s="304">
        <f t="shared" ca="1" si="381"/>
        <v>58.345838583968963</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2.5114589367799249</v>
      </c>
      <c r="AH884" s="304">
        <f t="shared" ca="1" si="405"/>
        <v>-7.2478919187513435</v>
      </c>
    </row>
    <row r="885" spans="1:34" x14ac:dyDescent="0.3">
      <c r="A885" s="347">
        <f t="shared" ca="1" si="383"/>
        <v>1E-4</v>
      </c>
      <c r="B885" s="304">
        <f t="shared" ca="1" si="384"/>
        <v>33.936200000001413</v>
      </c>
      <c r="D885" s="306">
        <f t="shared" ca="1" si="385"/>
        <v>-0.73555616615823682</v>
      </c>
      <c r="E885" s="307">
        <f t="shared" ca="1" si="386"/>
        <v>-2.5994902979062688</v>
      </c>
      <c r="F885" s="304">
        <f t="shared" ca="1" si="387"/>
        <v>2.7015537533949283</v>
      </c>
      <c r="G885" s="306">
        <f t="shared" ca="1" si="388"/>
        <v>12.559674283508555</v>
      </c>
      <c r="H885" s="307">
        <f t="shared" ca="1" si="389"/>
        <v>-123.12095122521522</v>
      </c>
      <c r="I885" s="304">
        <f t="shared" ca="1" si="390"/>
        <v>123.75990485092356</v>
      </c>
      <c r="J885" s="306">
        <f t="shared" ca="1" si="391"/>
        <v>780.60585379989482</v>
      </c>
      <c r="K885" s="307">
        <f t="shared" ca="1" si="392"/>
        <v>-7.6877461474439519</v>
      </c>
      <c r="L885" s="304">
        <f t="shared" ca="1" si="377"/>
        <v>780.64370901678978</v>
      </c>
      <c r="M885" s="306">
        <f t="shared" ca="1" si="393"/>
        <v>-1.4691371214208306</v>
      </c>
      <c r="N885" s="304">
        <f t="shared" ca="1" si="394"/>
        <v>-84.175356583412366</v>
      </c>
      <c r="P885" s="310">
        <f t="shared" ca="1" si="395"/>
        <v>23</v>
      </c>
      <c r="Q885" s="304">
        <f t="shared" ca="1" si="396"/>
        <v>0</v>
      </c>
      <c r="R885" s="306">
        <f t="shared" ca="1" si="397"/>
        <v>0</v>
      </c>
      <c r="S885" s="307">
        <f t="shared" ca="1" si="398"/>
        <v>8.0499999999999989</v>
      </c>
      <c r="T885" s="304">
        <f t="shared" ca="1" si="378"/>
        <v>78.970499999999987</v>
      </c>
      <c r="U885" s="311">
        <f t="shared" ca="1" si="379"/>
        <v>0</v>
      </c>
      <c r="V885" s="306">
        <f t="shared" ca="1" si="380"/>
        <v>1.2259421110385873</v>
      </c>
      <c r="W885" s="304">
        <f t="shared" ca="1" si="381"/>
        <v>58.346147219753874</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2.5114213975336668</v>
      </c>
      <c r="AH885" s="304">
        <f t="shared" ca="1" si="405"/>
        <v>-7.2479302588781334</v>
      </c>
    </row>
    <row r="886" spans="1:34" x14ac:dyDescent="0.3">
      <c r="A886" s="347">
        <f t="shared" ca="1" si="383"/>
        <v>1E-4</v>
      </c>
      <c r="B886" s="304">
        <f t="shared" ca="1" si="384"/>
        <v>33.936300000001417</v>
      </c>
      <c r="D886" s="306">
        <f t="shared" ca="1" si="385"/>
        <v>-0.73555425666143781</v>
      </c>
      <c r="E886" s="307">
        <f t="shared" ca="1" si="386"/>
        <v>-2.59945156429536</v>
      </c>
      <c r="F886" s="304">
        <f t="shared" ca="1" si="387"/>
        <v>2.7015159632344123</v>
      </c>
      <c r="G886" s="306">
        <f t="shared" ca="1" si="388"/>
        <v>12.559600728082888</v>
      </c>
      <c r="H886" s="307">
        <f t="shared" ca="1" si="389"/>
        <v>-123.12121117037165</v>
      </c>
      <c r="I886" s="304">
        <f t="shared" ca="1" si="390"/>
        <v>123.76015598934946</v>
      </c>
      <c r="J886" s="306">
        <f t="shared" ca="1" si="391"/>
        <v>780.60585379989482</v>
      </c>
      <c r="K886" s="307">
        <f t="shared" ca="1" si="392"/>
        <v>-7.7000582555637314</v>
      </c>
      <c r="L886" s="304">
        <f t="shared" ca="1" si="377"/>
        <v>780.64383036299068</v>
      </c>
      <c r="M886" s="306">
        <f t="shared" ca="1" si="393"/>
        <v>-1.4691379258477015</v>
      </c>
      <c r="N886" s="304">
        <f t="shared" ca="1" si="394"/>
        <v>-84.175402673676999</v>
      </c>
      <c r="P886" s="310">
        <f t="shared" ca="1" si="395"/>
        <v>23</v>
      </c>
      <c r="Q886" s="304">
        <f t="shared" ca="1" si="396"/>
        <v>0</v>
      </c>
      <c r="R886" s="306">
        <f t="shared" ca="1" si="397"/>
        <v>0</v>
      </c>
      <c r="S886" s="307">
        <f t="shared" ca="1" si="398"/>
        <v>8.0499999999999989</v>
      </c>
      <c r="T886" s="304">
        <f t="shared" ca="1" si="378"/>
        <v>78.970499999999987</v>
      </c>
      <c r="U886" s="311">
        <f t="shared" ca="1" si="379"/>
        <v>0</v>
      </c>
      <c r="V886" s="306">
        <f t="shared" ca="1" si="380"/>
        <v>1.2259436204329219</v>
      </c>
      <c r="W886" s="304">
        <f t="shared" ca="1" si="381"/>
        <v>58.346455853303013</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2.5113838585508823</v>
      </c>
      <c r="AH886" s="304">
        <f t="shared" ca="1" si="405"/>
        <v>-7.2479685987271907</v>
      </c>
    </row>
    <row r="887" spans="1:34" x14ac:dyDescent="0.3">
      <c r="A887" s="347">
        <f t="shared" ca="1" si="383"/>
        <v>1E-4</v>
      </c>
      <c r="B887" s="304">
        <f t="shared" ca="1" si="384"/>
        <v>33.93640000000142</v>
      </c>
      <c r="D887" s="306">
        <f t="shared" ca="1" si="385"/>
        <v>-0.73555234713212392</v>
      </c>
      <c r="E887" s="307">
        <f t="shared" ca="1" si="386"/>
        <v>-2.5994128309650266</v>
      </c>
      <c r="F887" s="304">
        <f t="shared" ca="1" si="387"/>
        <v>2.7014781733630926</v>
      </c>
      <c r="G887" s="306">
        <f t="shared" ca="1" si="388"/>
        <v>12.559527172848174</v>
      </c>
      <c r="H887" s="307">
        <f t="shared" ca="1" si="389"/>
        <v>-123.12147111165474</v>
      </c>
      <c r="I887" s="304">
        <f t="shared" ca="1" si="390"/>
        <v>123.76040712402147</v>
      </c>
      <c r="J887" s="306">
        <f t="shared" ca="1" si="391"/>
        <v>780.60585379989482</v>
      </c>
      <c r="K887" s="307">
        <f t="shared" ca="1" si="392"/>
        <v>-7.7123703896778331</v>
      </c>
      <c r="L887" s="304">
        <f t="shared" ca="1" si="377"/>
        <v>780.6439519036129</v>
      </c>
      <c r="M887" s="306">
        <f t="shared" ca="1" si="393"/>
        <v>-1.4691387302665966</v>
      </c>
      <c r="N887" s="304">
        <f t="shared" ca="1" si="394"/>
        <v>-84.175448763484638</v>
      </c>
      <c r="P887" s="310">
        <f t="shared" ca="1" si="395"/>
        <v>23</v>
      </c>
      <c r="Q887" s="304">
        <f t="shared" ca="1" si="396"/>
        <v>0</v>
      </c>
      <c r="R887" s="306">
        <f t="shared" ca="1" si="397"/>
        <v>0</v>
      </c>
      <c r="S887" s="307">
        <f t="shared" ca="1" si="398"/>
        <v>8.0499999999999989</v>
      </c>
      <c r="T887" s="304">
        <f t="shared" ca="1" si="378"/>
        <v>78.970499999999987</v>
      </c>
      <c r="U887" s="311">
        <f t="shared" ca="1" si="379"/>
        <v>0</v>
      </c>
      <c r="V887" s="306">
        <f t="shared" ca="1" si="380"/>
        <v>1.2259451298323025</v>
      </c>
      <c r="W887" s="304">
        <f t="shared" ca="1" si="381"/>
        <v>58.346764484616408</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2.5113463198315786</v>
      </c>
      <c r="AH887" s="304">
        <f t="shared" ca="1" si="405"/>
        <v>-7.2480069382985119</v>
      </c>
    </row>
    <row r="888" spans="1:34" x14ac:dyDescent="0.3">
      <c r="A888" s="347">
        <f t="shared" ca="1" si="383"/>
        <v>1E-4</v>
      </c>
      <c r="B888" s="304">
        <f t="shared" ca="1" si="384"/>
        <v>33.936500000001423</v>
      </c>
      <c r="D888" s="306">
        <f t="shared" ca="1" si="385"/>
        <v>-0.73555043757029559</v>
      </c>
      <c r="E888" s="307">
        <f t="shared" ca="1" si="386"/>
        <v>-2.5993740979152644</v>
      </c>
      <c r="F888" s="304">
        <f t="shared" ca="1" si="387"/>
        <v>2.7014403837809651</v>
      </c>
      <c r="G888" s="306">
        <f t="shared" ca="1" si="388"/>
        <v>12.559453617804417</v>
      </c>
      <c r="H888" s="307">
        <f t="shared" ca="1" si="389"/>
        <v>-123.12173104906454</v>
      </c>
      <c r="I888" s="304">
        <f t="shared" ca="1" si="390"/>
        <v>123.76065825493966</v>
      </c>
      <c r="J888" s="306">
        <f t="shared" ca="1" si="391"/>
        <v>780.60585379989482</v>
      </c>
      <c r="K888" s="307">
        <f t="shared" ca="1" si="392"/>
        <v>-7.7246825497858689</v>
      </c>
      <c r="L888" s="304">
        <f t="shared" ca="1" si="377"/>
        <v>780.64407363865746</v>
      </c>
      <c r="M888" s="306">
        <f t="shared" ca="1" si="393"/>
        <v>-1.469139534677516</v>
      </c>
      <c r="N888" s="304">
        <f t="shared" ca="1" si="394"/>
        <v>-84.175494852835314</v>
      </c>
      <c r="P888" s="310">
        <f t="shared" ca="1" si="395"/>
        <v>23</v>
      </c>
      <c r="Q888" s="304">
        <f t="shared" ca="1" si="396"/>
        <v>0</v>
      </c>
      <c r="R888" s="306">
        <f t="shared" ca="1" si="397"/>
        <v>0</v>
      </c>
      <c r="S888" s="307">
        <f t="shared" ca="1" si="398"/>
        <v>8.0499999999999989</v>
      </c>
      <c r="T888" s="304">
        <f t="shared" ca="1" si="378"/>
        <v>78.970499999999987</v>
      </c>
      <c r="U888" s="311">
        <f t="shared" ca="1" si="379"/>
        <v>0</v>
      </c>
      <c r="V888" s="306">
        <f t="shared" ca="1" si="380"/>
        <v>1.2259466392367284</v>
      </c>
      <c r="W888" s="304">
        <f t="shared" ca="1" si="381"/>
        <v>58.347073113694023</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2.5113087813757513</v>
      </c>
      <c r="AH888" s="304">
        <f t="shared" ca="1" si="405"/>
        <v>-7.2480452775921016</v>
      </c>
    </row>
    <row r="889" spans="1:34" x14ac:dyDescent="0.3">
      <c r="A889" s="347">
        <f t="shared" ca="1" si="383"/>
        <v>1E-4</v>
      </c>
      <c r="B889" s="304">
        <f t="shared" ca="1" si="384"/>
        <v>33.936600000001427</v>
      </c>
      <c r="D889" s="306">
        <f t="shared" ca="1" si="385"/>
        <v>-0.73554852797595238</v>
      </c>
      <c r="E889" s="307">
        <f t="shared" ca="1" si="386"/>
        <v>-2.5993353651460778</v>
      </c>
      <c r="F889" s="304">
        <f t="shared" ca="1" si="387"/>
        <v>2.7014025944880342</v>
      </c>
      <c r="G889" s="306">
        <f t="shared" ca="1" si="388"/>
        <v>12.55938006295162</v>
      </c>
      <c r="H889" s="307">
        <f t="shared" ca="1" si="389"/>
        <v>-123.12199098260105</v>
      </c>
      <c r="I889" s="304">
        <f t="shared" ca="1" si="390"/>
        <v>123.76090938210402</v>
      </c>
      <c r="J889" s="306">
        <f t="shared" ca="1" si="391"/>
        <v>780.60585379989482</v>
      </c>
      <c r="K889" s="307">
        <f t="shared" ca="1" si="392"/>
        <v>-7.7369947358874525</v>
      </c>
      <c r="L889" s="304">
        <f t="shared" ca="1" si="377"/>
        <v>780.64419556812561</v>
      </c>
      <c r="M889" s="306">
        <f t="shared" ca="1" si="393"/>
        <v>-1.46914033908046</v>
      </c>
      <c r="N889" s="304">
        <f t="shared" ca="1" si="394"/>
        <v>-84.175540941729039</v>
      </c>
      <c r="P889" s="310">
        <f t="shared" ca="1" si="395"/>
        <v>23</v>
      </c>
      <c r="Q889" s="304">
        <f t="shared" ca="1" si="396"/>
        <v>0</v>
      </c>
      <c r="R889" s="306">
        <f t="shared" ca="1" si="397"/>
        <v>0</v>
      </c>
      <c r="S889" s="307">
        <f t="shared" ca="1" si="398"/>
        <v>8.0499999999999989</v>
      </c>
      <c r="T889" s="304">
        <f t="shared" ca="1" si="378"/>
        <v>78.970499999999987</v>
      </c>
      <c r="U889" s="311">
        <f t="shared" ca="1" si="379"/>
        <v>0</v>
      </c>
      <c r="V889" s="306">
        <f t="shared" ca="1" si="380"/>
        <v>1.2259481486462003</v>
      </c>
      <c r="W889" s="304">
        <f t="shared" ca="1" si="381"/>
        <v>58.347381740535859</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2.5112712431834074</v>
      </c>
      <c r="AH889" s="304">
        <f t="shared" ca="1" si="405"/>
        <v>-7.2480836166079543</v>
      </c>
    </row>
    <row r="890" spans="1:34" x14ac:dyDescent="0.3">
      <c r="A890" s="347">
        <f t="shared" ca="1" si="383"/>
        <v>1E-4</v>
      </c>
      <c r="B890" s="304">
        <f t="shared" ca="1" si="384"/>
        <v>33.93670000000143</v>
      </c>
      <c r="D890" s="306">
        <f t="shared" ca="1" si="385"/>
        <v>-0.73554661834909407</v>
      </c>
      <c r="E890" s="307">
        <f t="shared" ca="1" si="386"/>
        <v>-2.5992966326574676</v>
      </c>
      <c r="F890" s="304">
        <f t="shared" ca="1" si="387"/>
        <v>2.7013648054843014</v>
      </c>
      <c r="G890" s="306">
        <f t="shared" ca="1" si="388"/>
        <v>12.559306508289785</v>
      </c>
      <c r="H890" s="307">
        <f t="shared" ca="1" si="389"/>
        <v>-123.12225091226432</v>
      </c>
      <c r="I890" s="304">
        <f t="shared" ca="1" si="390"/>
        <v>123.76116050551458</v>
      </c>
      <c r="J890" s="306">
        <f t="shared" ca="1" si="391"/>
        <v>780.60585379989482</v>
      </c>
      <c r="K890" s="307">
        <f t="shared" ca="1" si="392"/>
        <v>-7.7493069479821957</v>
      </c>
      <c r="L890" s="304">
        <f t="shared" ca="1" si="377"/>
        <v>780.64431769201826</v>
      </c>
      <c r="M890" s="306">
        <f t="shared" ca="1" si="393"/>
        <v>-1.4691411434754285</v>
      </c>
      <c r="N890" s="304">
        <f t="shared" ca="1" si="394"/>
        <v>-84.175587030165786</v>
      </c>
      <c r="P890" s="310">
        <f t="shared" ca="1" si="395"/>
        <v>23</v>
      </c>
      <c r="Q890" s="304">
        <f t="shared" ca="1" si="396"/>
        <v>0</v>
      </c>
      <c r="R890" s="306">
        <f t="shared" ca="1" si="397"/>
        <v>0</v>
      </c>
      <c r="S890" s="307">
        <f t="shared" ca="1" si="398"/>
        <v>8.0499999999999989</v>
      </c>
      <c r="T890" s="304">
        <f t="shared" ca="1" si="378"/>
        <v>78.970499999999987</v>
      </c>
      <c r="U890" s="311">
        <f t="shared" ca="1" si="379"/>
        <v>0</v>
      </c>
      <c r="V890" s="306">
        <f t="shared" ca="1" si="380"/>
        <v>1.2259496580607183</v>
      </c>
      <c r="W890" s="304">
        <f t="shared" ca="1" si="381"/>
        <v>58.347690365141943</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2.5112337052545435</v>
      </c>
      <c r="AH890" s="304">
        <f t="shared" ca="1" si="405"/>
        <v>-7.2481219553460701</v>
      </c>
    </row>
    <row r="891" spans="1:34" x14ac:dyDescent="0.3">
      <c r="A891" s="347">
        <f t="shared" ca="1" si="383"/>
        <v>1E-4</v>
      </c>
      <c r="B891" s="304">
        <f t="shared" ca="1" si="384"/>
        <v>33.936800000001433</v>
      </c>
      <c r="D891" s="306">
        <f t="shared" ca="1" si="385"/>
        <v>-0.73554470868972455</v>
      </c>
      <c r="E891" s="307">
        <f t="shared" ca="1" si="386"/>
        <v>-2.5992579004494276</v>
      </c>
      <c r="F891" s="304">
        <f t="shared" ca="1" si="387"/>
        <v>2.7013270167697612</v>
      </c>
      <c r="G891" s="306">
        <f t="shared" ca="1" si="388"/>
        <v>12.559232953818915</v>
      </c>
      <c r="H891" s="307">
        <f t="shared" ca="1" si="389"/>
        <v>-123.12251083805437</v>
      </c>
      <c r="I891" s="304">
        <f t="shared" ca="1" si="390"/>
        <v>123.76141162517138</v>
      </c>
      <c r="J891" s="306">
        <f t="shared" ca="1" si="391"/>
        <v>780.60585379989482</v>
      </c>
      <c r="K891" s="307">
        <f t="shared" ca="1" si="392"/>
        <v>-7.7616191860697112</v>
      </c>
      <c r="L891" s="304">
        <f t="shared" ca="1" si="377"/>
        <v>780.64444001033678</v>
      </c>
      <c r="M891" s="306">
        <f t="shared" ca="1" si="393"/>
        <v>-1.4691419478624217</v>
      </c>
      <c r="N891" s="304">
        <f t="shared" ca="1" si="394"/>
        <v>-84.175633118145598</v>
      </c>
      <c r="P891" s="310">
        <f t="shared" ca="1" si="395"/>
        <v>23</v>
      </c>
      <c r="Q891" s="304">
        <f t="shared" ca="1" si="396"/>
        <v>0</v>
      </c>
      <c r="R891" s="306">
        <f t="shared" ca="1" si="397"/>
        <v>0</v>
      </c>
      <c r="S891" s="307">
        <f t="shared" ca="1" si="398"/>
        <v>8.0499999999999989</v>
      </c>
      <c r="T891" s="304">
        <f t="shared" ca="1" si="378"/>
        <v>78.970499999999987</v>
      </c>
      <c r="U891" s="311">
        <f t="shared" ca="1" si="379"/>
        <v>0</v>
      </c>
      <c r="V891" s="306">
        <f t="shared" ca="1" si="380"/>
        <v>1.2259511674802817</v>
      </c>
      <c r="W891" s="304">
        <f t="shared" ca="1" si="381"/>
        <v>58.347998987512199</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2.5111961675891585</v>
      </c>
      <c r="AH891" s="304">
        <f t="shared" ca="1" si="405"/>
        <v>-7.2481602938064533</v>
      </c>
    </row>
    <row r="892" spans="1:34" x14ac:dyDescent="0.3">
      <c r="A892" s="347">
        <f t="shared" ca="1" si="383"/>
        <v>1E-4</v>
      </c>
      <c r="B892" s="304">
        <f t="shared" ca="1" si="384"/>
        <v>33.936900000001437</v>
      </c>
      <c r="D892" s="306">
        <f t="shared" ca="1" si="385"/>
        <v>-0.73554279899784114</v>
      </c>
      <c r="E892" s="307">
        <f t="shared" ca="1" si="386"/>
        <v>-2.5992191685219703</v>
      </c>
      <c r="F892" s="304">
        <f t="shared" ca="1" si="387"/>
        <v>2.7012892283444252</v>
      </c>
      <c r="G892" s="306">
        <f t="shared" ca="1" si="388"/>
        <v>12.559159399539015</v>
      </c>
      <c r="H892" s="307">
        <f t="shared" ca="1" si="389"/>
        <v>-123.12277075997122</v>
      </c>
      <c r="I892" s="304">
        <f t="shared" ca="1" si="390"/>
        <v>123.76166274107445</v>
      </c>
      <c r="J892" s="306">
        <f t="shared" ca="1" si="391"/>
        <v>780.60585379989482</v>
      </c>
      <c r="K892" s="307">
        <f t="shared" ca="1" si="392"/>
        <v>-7.7739314501496128</v>
      </c>
      <c r="L892" s="304">
        <f t="shared" ca="1" si="377"/>
        <v>780.64456252308219</v>
      </c>
      <c r="M892" s="306">
        <f t="shared" ca="1" si="393"/>
        <v>-1.4691427522414395</v>
      </c>
      <c r="N892" s="304">
        <f t="shared" ca="1" si="394"/>
        <v>-84.175679205668445</v>
      </c>
      <c r="P892" s="310">
        <f t="shared" ca="1" si="395"/>
        <v>23</v>
      </c>
      <c r="Q892" s="304">
        <f t="shared" ca="1" si="396"/>
        <v>0</v>
      </c>
      <c r="R892" s="306">
        <f t="shared" ca="1" si="397"/>
        <v>0</v>
      </c>
      <c r="S892" s="307">
        <f t="shared" ca="1" si="398"/>
        <v>8.0499999999999989</v>
      </c>
      <c r="T892" s="304">
        <f t="shared" ca="1" si="378"/>
        <v>78.970499999999987</v>
      </c>
      <c r="U892" s="311">
        <f t="shared" ca="1" si="379"/>
        <v>0</v>
      </c>
      <c r="V892" s="306">
        <f t="shared" ca="1" si="380"/>
        <v>1.225952676904891</v>
      </c>
      <c r="W892" s="304">
        <f t="shared" ca="1" si="381"/>
        <v>58.348307607646696</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2.5111586301872588</v>
      </c>
      <c r="AH892" s="304">
        <f t="shared" ca="1" si="405"/>
        <v>-7.2481986319890943</v>
      </c>
    </row>
    <row r="893" spans="1:34" x14ac:dyDescent="0.3">
      <c r="A893" s="347">
        <f t="shared" ca="1" si="383"/>
        <v>1E-4</v>
      </c>
      <c r="B893" s="304">
        <f t="shared" ca="1" si="384"/>
        <v>33.93700000000144</v>
      </c>
      <c r="D893" s="306">
        <f t="shared" ca="1" si="385"/>
        <v>-0.73554088927344752</v>
      </c>
      <c r="E893" s="307">
        <f t="shared" ca="1" si="386"/>
        <v>-2.5991804368750859</v>
      </c>
      <c r="F893" s="304">
        <f t="shared" ca="1" si="387"/>
        <v>2.7012514402082854</v>
      </c>
      <c r="G893" s="306">
        <f t="shared" ca="1" si="388"/>
        <v>12.559085845450086</v>
      </c>
      <c r="H893" s="307">
        <f t="shared" ca="1" si="389"/>
        <v>-123.1230306780149</v>
      </c>
      <c r="I893" s="304">
        <f t="shared" ca="1" si="390"/>
        <v>123.76191385322377</v>
      </c>
      <c r="J893" s="306">
        <f t="shared" ca="1" si="391"/>
        <v>780.60585379989482</v>
      </c>
      <c r="K893" s="307">
        <f t="shared" ca="1" si="392"/>
        <v>-7.7862437402215123</v>
      </c>
      <c r="L893" s="304">
        <f t="shared" ca="1" si="377"/>
        <v>780.64468523025562</v>
      </c>
      <c r="M893" s="306">
        <f t="shared" ca="1" si="393"/>
        <v>-1.4691435566124824</v>
      </c>
      <c r="N893" s="304">
        <f t="shared" ca="1" si="394"/>
        <v>-84.17572529273437</v>
      </c>
      <c r="P893" s="310">
        <f t="shared" ca="1" si="395"/>
        <v>23</v>
      </c>
      <c r="Q893" s="304">
        <f t="shared" ca="1" si="396"/>
        <v>0</v>
      </c>
      <c r="R893" s="306">
        <f t="shared" ca="1" si="397"/>
        <v>0</v>
      </c>
      <c r="S893" s="307">
        <f t="shared" ca="1" si="398"/>
        <v>8.0499999999999989</v>
      </c>
      <c r="T893" s="304">
        <f t="shared" ca="1" si="378"/>
        <v>78.970499999999987</v>
      </c>
      <c r="U893" s="311">
        <f t="shared" ca="1" si="379"/>
        <v>0</v>
      </c>
      <c r="V893" s="306">
        <f t="shared" ca="1" si="380"/>
        <v>1.225954186334546</v>
      </c>
      <c r="W893" s="304">
        <f t="shared" ca="1" si="381"/>
        <v>58.348616225545385</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2.5111210930488426</v>
      </c>
      <c r="AH893" s="304">
        <f t="shared" ca="1" si="405"/>
        <v>-7.2482369698940001</v>
      </c>
    </row>
    <row r="894" spans="1:34" x14ac:dyDescent="0.3">
      <c r="A894" s="347">
        <f t="shared" ca="1" si="383"/>
        <v>1E-4</v>
      </c>
      <c r="B894" s="304">
        <f t="shared" ca="1" si="384"/>
        <v>33.937100000001443</v>
      </c>
      <c r="D894" s="306">
        <f t="shared" ca="1" si="385"/>
        <v>-0.73553897951654212</v>
      </c>
      <c r="E894" s="307">
        <f t="shared" ca="1" si="386"/>
        <v>-2.5991417055087798</v>
      </c>
      <c r="F894" s="304">
        <f t="shared" ca="1" si="387"/>
        <v>2.7012136523613464</v>
      </c>
      <c r="G894" s="306">
        <f t="shared" ca="1" si="388"/>
        <v>12.559012291552134</v>
      </c>
      <c r="H894" s="307">
        <f t="shared" ca="1" si="389"/>
        <v>-123.12329059218546</v>
      </c>
      <c r="I894" s="304">
        <f t="shared" ca="1" si="390"/>
        <v>123.76216496161943</v>
      </c>
      <c r="J894" s="306">
        <f t="shared" ca="1" si="391"/>
        <v>780.60585379989482</v>
      </c>
      <c r="K894" s="307">
        <f t="shared" ca="1" si="392"/>
        <v>-7.7985560562850225</v>
      </c>
      <c r="L894" s="304">
        <f t="shared" ca="1" si="377"/>
        <v>780.64480813185821</v>
      </c>
      <c r="M894" s="306">
        <f t="shared" ca="1" si="393"/>
        <v>-1.4691443609755503</v>
      </c>
      <c r="N894" s="304">
        <f t="shared" ca="1" si="394"/>
        <v>-84.17577137934336</v>
      </c>
      <c r="P894" s="310">
        <f t="shared" ca="1" si="395"/>
        <v>23</v>
      </c>
      <c r="Q894" s="304">
        <f t="shared" ca="1" si="396"/>
        <v>0</v>
      </c>
      <c r="R894" s="306">
        <f t="shared" ca="1" si="397"/>
        <v>0</v>
      </c>
      <c r="S894" s="307">
        <f t="shared" ca="1" si="398"/>
        <v>8.0499999999999989</v>
      </c>
      <c r="T894" s="304">
        <f t="shared" ca="1" si="378"/>
        <v>78.970499999999987</v>
      </c>
      <c r="U894" s="311">
        <f t="shared" ca="1" si="379"/>
        <v>0</v>
      </c>
      <c r="V894" s="306">
        <f t="shared" ca="1" si="380"/>
        <v>1.2259556957692463</v>
      </c>
      <c r="W894" s="304">
        <f t="shared" ca="1" si="381"/>
        <v>58.348924841208259</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2.5110835561739115</v>
      </c>
      <c r="AH894" s="304">
        <f t="shared" ca="1" si="405"/>
        <v>-7.2482753075211672</v>
      </c>
    </row>
    <row r="895" spans="1:34" x14ac:dyDescent="0.3">
      <c r="A895" s="347">
        <f t="shared" ca="1" si="383"/>
        <v>1E-4</v>
      </c>
      <c r="B895" s="304">
        <f t="shared" ca="1" si="384"/>
        <v>33.937200000001447</v>
      </c>
      <c r="D895" s="306">
        <f t="shared" ca="1" si="385"/>
        <v>-0.73553706972712596</v>
      </c>
      <c r="E895" s="307">
        <f t="shared" ca="1" si="386"/>
        <v>-2.5991029744230554</v>
      </c>
      <c r="F895" s="304">
        <f t="shared" ca="1" si="387"/>
        <v>2.7011758648036119</v>
      </c>
      <c r="G895" s="306">
        <f t="shared" ca="1" si="388"/>
        <v>12.558938737845162</v>
      </c>
      <c r="H895" s="307">
        <f t="shared" ca="1" si="389"/>
        <v>-123.1235505024829</v>
      </c>
      <c r="I895" s="304">
        <f t="shared" ca="1" si="390"/>
        <v>123.76241606626142</v>
      </c>
      <c r="J895" s="306">
        <f t="shared" ca="1" si="391"/>
        <v>780.60585379989482</v>
      </c>
      <c r="K895" s="307">
        <f t="shared" ca="1" si="392"/>
        <v>-7.810868398339756</v>
      </c>
      <c r="L895" s="304">
        <f t="shared" ca="1" si="377"/>
        <v>780.64493122789122</v>
      </c>
      <c r="M895" s="306">
        <f t="shared" ca="1" si="393"/>
        <v>-1.4691451653306433</v>
      </c>
      <c r="N895" s="304">
        <f t="shared" ca="1" si="394"/>
        <v>-84.175817465495413</v>
      </c>
      <c r="P895" s="310">
        <f t="shared" ca="1" si="395"/>
        <v>23</v>
      </c>
      <c r="Q895" s="304">
        <f t="shared" ca="1" si="396"/>
        <v>0</v>
      </c>
      <c r="R895" s="306">
        <f t="shared" ca="1" si="397"/>
        <v>0</v>
      </c>
      <c r="S895" s="307">
        <f t="shared" ca="1" si="398"/>
        <v>8.0499999999999989</v>
      </c>
      <c r="T895" s="304">
        <f t="shared" ca="1" si="378"/>
        <v>78.970499999999987</v>
      </c>
      <c r="U895" s="311">
        <f t="shared" ca="1" si="379"/>
        <v>0</v>
      </c>
      <c r="V895" s="306">
        <f t="shared" ca="1" si="380"/>
        <v>1.2259572052089927</v>
      </c>
      <c r="W895" s="304">
        <f t="shared" ca="1" si="381"/>
        <v>58.349233454635325</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2.5110460195624693</v>
      </c>
      <c r="AH895" s="304">
        <f t="shared" ca="1" si="405"/>
        <v>-7.248313644870592</v>
      </c>
    </row>
    <row r="896" spans="1:34" x14ac:dyDescent="0.3">
      <c r="A896" s="347">
        <f t="shared" ca="1" si="383"/>
        <v>1E-4</v>
      </c>
      <c r="B896" s="304">
        <f t="shared" ca="1" si="384"/>
        <v>33.93730000000145</v>
      </c>
      <c r="D896" s="306">
        <f t="shared" ca="1" si="385"/>
        <v>-0.73553515990520091</v>
      </c>
      <c r="E896" s="307">
        <f t="shared" ca="1" si="386"/>
        <v>-2.5990642436179092</v>
      </c>
      <c r="F896" s="304">
        <f t="shared" ca="1" si="387"/>
        <v>2.7011380775350791</v>
      </c>
      <c r="G896" s="306">
        <f t="shared" ca="1" si="388"/>
        <v>12.558865184329171</v>
      </c>
      <c r="H896" s="307">
        <f t="shared" ca="1" si="389"/>
        <v>-123.12381040890726</v>
      </c>
      <c r="I896" s="304">
        <f t="shared" ca="1" si="390"/>
        <v>123.76266716714979</v>
      </c>
      <c r="J896" s="306">
        <f t="shared" ca="1" si="391"/>
        <v>780.60585379989482</v>
      </c>
      <c r="K896" s="307">
        <f t="shared" ca="1" si="392"/>
        <v>-7.8231807663853257</v>
      </c>
      <c r="L896" s="304">
        <f t="shared" ca="1" si="377"/>
        <v>780.64505451835555</v>
      </c>
      <c r="M896" s="306">
        <f t="shared" ca="1" si="393"/>
        <v>-1.4691459696777616</v>
      </c>
      <c r="N896" s="304">
        <f t="shared" ca="1" si="394"/>
        <v>-84.17586355119056</v>
      </c>
      <c r="P896" s="310">
        <f t="shared" ca="1" si="395"/>
        <v>23</v>
      </c>
      <c r="Q896" s="304">
        <f t="shared" ca="1" si="396"/>
        <v>0</v>
      </c>
      <c r="R896" s="306">
        <f t="shared" ca="1" si="397"/>
        <v>0</v>
      </c>
      <c r="S896" s="307">
        <f t="shared" ca="1" si="398"/>
        <v>8.0499999999999989</v>
      </c>
      <c r="T896" s="304">
        <f t="shared" ca="1" si="378"/>
        <v>78.970499999999987</v>
      </c>
      <c r="U896" s="311">
        <f t="shared" ca="1" si="379"/>
        <v>0</v>
      </c>
      <c r="V896" s="306">
        <f t="shared" ca="1" si="380"/>
        <v>1.2259587146537845</v>
      </c>
      <c r="W896" s="304">
        <f t="shared" ca="1" si="381"/>
        <v>58.34954206582659</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2.5110084832145114</v>
      </c>
      <c r="AH896" s="304">
        <f t="shared" ca="1" si="405"/>
        <v>-7.2483519819422773</v>
      </c>
    </row>
    <row r="897" spans="1:34" x14ac:dyDescent="0.3">
      <c r="A897" s="347">
        <f t="shared" ca="1" si="383"/>
        <v>1E-4</v>
      </c>
      <c r="B897" s="304">
        <f t="shared" ca="1" si="384"/>
        <v>33.937400000001453</v>
      </c>
      <c r="D897" s="306">
        <f t="shared" ca="1" si="385"/>
        <v>-0.73553325005076697</v>
      </c>
      <c r="E897" s="307">
        <f t="shared" ca="1" si="386"/>
        <v>-2.5990255130933404</v>
      </c>
      <c r="F897" s="304">
        <f t="shared" ca="1" si="387"/>
        <v>2.7011002905557477</v>
      </c>
      <c r="G897" s="306">
        <f t="shared" ca="1" si="388"/>
        <v>12.558791631004166</v>
      </c>
      <c r="H897" s="307">
        <f t="shared" ca="1" si="389"/>
        <v>-123.12407031145857</v>
      </c>
      <c r="I897" s="304">
        <f t="shared" ca="1" si="390"/>
        <v>123.76291826428454</v>
      </c>
      <c r="J897" s="306">
        <f t="shared" ca="1" si="391"/>
        <v>780.60585379989482</v>
      </c>
      <c r="K897" s="307">
        <f t="shared" ca="1" si="392"/>
        <v>-7.8354931604213442</v>
      </c>
      <c r="L897" s="304">
        <f t="shared" ca="1" si="377"/>
        <v>780.64517800325245</v>
      </c>
      <c r="M897" s="306">
        <f t="shared" ca="1" si="393"/>
        <v>-1.4691467740169053</v>
      </c>
      <c r="N897" s="304">
        <f t="shared" ca="1" si="394"/>
        <v>-84.175909636428784</v>
      </c>
      <c r="P897" s="310">
        <f t="shared" ca="1" si="395"/>
        <v>23</v>
      </c>
      <c r="Q897" s="304">
        <f t="shared" ca="1" si="396"/>
        <v>0</v>
      </c>
      <c r="R897" s="306">
        <f t="shared" ca="1" si="397"/>
        <v>0</v>
      </c>
      <c r="S897" s="307">
        <f t="shared" ca="1" si="398"/>
        <v>8.0499999999999989</v>
      </c>
      <c r="T897" s="304">
        <f t="shared" ca="1" si="378"/>
        <v>78.970499999999987</v>
      </c>
      <c r="U897" s="311">
        <f t="shared" ca="1" si="379"/>
        <v>0</v>
      </c>
      <c r="V897" s="306">
        <f t="shared" ca="1" si="380"/>
        <v>1.2259602241036216</v>
      </c>
      <c r="W897" s="304">
        <f t="shared" ca="1" si="381"/>
        <v>58.349850674782012</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2.5109709471300405</v>
      </c>
      <c r="AH897" s="304">
        <f t="shared" ca="1" si="405"/>
        <v>-7.2483903187362237</v>
      </c>
    </row>
    <row r="898" spans="1:34" x14ac:dyDescent="0.3">
      <c r="A898" s="347">
        <f t="shared" ca="1" si="383"/>
        <v>1E-4</v>
      </c>
      <c r="B898" s="304">
        <f t="shared" ca="1" si="384"/>
        <v>33.937500000001457</v>
      </c>
      <c r="D898" s="306">
        <f t="shared" ca="1" si="385"/>
        <v>-0.73553134016382349</v>
      </c>
      <c r="E898" s="307">
        <f t="shared" ca="1" si="386"/>
        <v>-2.5989867828493569</v>
      </c>
      <c r="F898" s="304">
        <f t="shared" ca="1" si="387"/>
        <v>2.7010625038656251</v>
      </c>
      <c r="G898" s="306">
        <f t="shared" ca="1" si="388"/>
        <v>12.558718077870148</v>
      </c>
      <c r="H898" s="307">
        <f t="shared" ca="1" si="389"/>
        <v>-123.12433021013685</v>
      </c>
      <c r="I898" s="304">
        <f t="shared" ca="1" si="390"/>
        <v>123.76316935766569</v>
      </c>
      <c r="J898" s="306">
        <f t="shared" ca="1" si="391"/>
        <v>780.60585379989482</v>
      </c>
      <c r="K898" s="307">
        <f t="shared" ca="1" si="392"/>
        <v>-7.8478055804474236</v>
      </c>
      <c r="L898" s="304">
        <f t="shared" ca="1" si="377"/>
        <v>780.64530168258307</v>
      </c>
      <c r="M898" s="306">
        <f t="shared" ca="1" si="393"/>
        <v>-1.4691475783480745</v>
      </c>
      <c r="N898" s="304">
        <f t="shared" ca="1" si="394"/>
        <v>-84.175955721210116</v>
      </c>
      <c r="P898" s="310">
        <f t="shared" ca="1" si="395"/>
        <v>23</v>
      </c>
      <c r="Q898" s="304">
        <f t="shared" ca="1" si="396"/>
        <v>0</v>
      </c>
      <c r="R898" s="306">
        <f t="shared" ca="1" si="397"/>
        <v>0</v>
      </c>
      <c r="S898" s="307">
        <f t="shared" ca="1" si="398"/>
        <v>8.0499999999999989</v>
      </c>
      <c r="T898" s="304">
        <f t="shared" ca="1" si="378"/>
        <v>78.970499999999987</v>
      </c>
      <c r="U898" s="311">
        <f t="shared" ca="1" si="379"/>
        <v>0</v>
      </c>
      <c r="V898" s="306">
        <f t="shared" ca="1" si="380"/>
        <v>1.2259617335585042</v>
      </c>
      <c r="W898" s="304">
        <f t="shared" ca="1" si="381"/>
        <v>58.350159281501568</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2.5109334113090656</v>
      </c>
      <c r="AH898" s="304">
        <f t="shared" ca="1" si="405"/>
        <v>-7.2484286552524244</v>
      </c>
    </row>
    <row r="899" spans="1:34" x14ac:dyDescent="0.3">
      <c r="A899" s="347">
        <f t="shared" ca="1" si="383"/>
        <v>1E-4</v>
      </c>
      <c r="B899" s="304">
        <f t="shared" ca="1" si="384"/>
        <v>33.93760000000146</v>
      </c>
      <c r="D899" s="306">
        <f t="shared" ca="1" si="385"/>
        <v>-0.73552943024437201</v>
      </c>
      <c r="E899" s="307">
        <f t="shared" ca="1" si="386"/>
        <v>-2.598948052885957</v>
      </c>
      <c r="F899" s="304">
        <f t="shared" ca="1" si="387"/>
        <v>2.7010247174647102</v>
      </c>
      <c r="G899" s="306">
        <f t="shared" ca="1" si="388"/>
        <v>12.558644524927123</v>
      </c>
      <c r="H899" s="307">
        <f t="shared" ca="1" si="389"/>
        <v>-123.12459010494213</v>
      </c>
      <c r="I899" s="304">
        <f t="shared" ca="1" si="390"/>
        <v>123.76342044729329</v>
      </c>
      <c r="J899" s="306">
        <f t="shared" ca="1" si="391"/>
        <v>780.60585379989482</v>
      </c>
      <c r="K899" s="307">
        <f t="shared" ca="1" si="392"/>
        <v>-7.8601180264631774</v>
      </c>
      <c r="L899" s="304">
        <f t="shared" ca="1" si="377"/>
        <v>780.64542555634864</v>
      </c>
      <c r="M899" s="306">
        <f t="shared" ca="1" si="393"/>
        <v>-1.4691483826712695</v>
      </c>
      <c r="N899" s="304">
        <f t="shared" ca="1" si="394"/>
        <v>-84.176001805534554</v>
      </c>
      <c r="P899" s="310">
        <f t="shared" ca="1" si="395"/>
        <v>23</v>
      </c>
      <c r="Q899" s="304">
        <f t="shared" ca="1" si="396"/>
        <v>0</v>
      </c>
      <c r="R899" s="306">
        <f t="shared" ca="1" si="397"/>
        <v>0</v>
      </c>
      <c r="S899" s="307">
        <f t="shared" ca="1" si="398"/>
        <v>8.0499999999999989</v>
      </c>
      <c r="T899" s="304">
        <f t="shared" ca="1" si="378"/>
        <v>78.970499999999987</v>
      </c>
      <c r="U899" s="311">
        <f t="shared" ca="1" si="379"/>
        <v>0</v>
      </c>
      <c r="V899" s="306">
        <f t="shared" ca="1" si="380"/>
        <v>1.2259632430184324</v>
      </c>
      <c r="W899" s="304">
        <f t="shared" ca="1" si="381"/>
        <v>58.350467885985296</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2.5108958757515811</v>
      </c>
      <c r="AH899" s="304">
        <f t="shared" ca="1" si="405"/>
        <v>-7.2484669914908793</v>
      </c>
    </row>
    <row r="900" spans="1:34" x14ac:dyDescent="0.3">
      <c r="A900" s="347">
        <f t="shared" ca="1" si="383"/>
        <v>1E-4</v>
      </c>
      <c r="B900" s="304">
        <f t="shared" ca="1" si="384"/>
        <v>33.937700000001463</v>
      </c>
      <c r="D900" s="306">
        <f t="shared" ca="1" si="385"/>
        <v>-0.73552752029241286</v>
      </c>
      <c r="E900" s="307">
        <f t="shared" ca="1" si="386"/>
        <v>-2.5989093232031415</v>
      </c>
      <c r="F900" s="304">
        <f t="shared" ca="1" si="387"/>
        <v>2.7009869313530039</v>
      </c>
      <c r="G900" s="306">
        <f t="shared" ca="1" si="388"/>
        <v>12.558570972175094</v>
      </c>
      <c r="H900" s="307">
        <f t="shared" ca="1" si="389"/>
        <v>-123.12484999587446</v>
      </c>
      <c r="I900" s="304">
        <f t="shared" ca="1" si="390"/>
        <v>123.76367153316737</v>
      </c>
      <c r="J900" s="306">
        <f t="shared" ca="1" si="391"/>
        <v>780.60585379989482</v>
      </c>
      <c r="K900" s="307">
        <f t="shared" ca="1" si="392"/>
        <v>-7.8724304984682183</v>
      </c>
      <c r="L900" s="304">
        <f t="shared" ref="L900:L963" ca="1" si="406">SQRT(pos_x^2+pos_z^2)</f>
        <v>780.64554962455009</v>
      </c>
      <c r="M900" s="306">
        <f t="shared" ca="1" si="393"/>
        <v>-1.4691491869864901</v>
      </c>
      <c r="N900" s="304">
        <f t="shared" ca="1" si="394"/>
        <v>-84.176047889402085</v>
      </c>
      <c r="P900" s="310">
        <f t="shared" ca="1" si="395"/>
        <v>23</v>
      </c>
      <c r="Q900" s="304">
        <f t="shared" ca="1" si="396"/>
        <v>0</v>
      </c>
      <c r="R900" s="306">
        <f t="shared" ca="1" si="397"/>
        <v>0</v>
      </c>
      <c r="S900" s="307">
        <f t="shared" ca="1" si="398"/>
        <v>8.0499999999999989</v>
      </c>
      <c r="T900" s="304">
        <f t="shared" ref="T900:T963" ca="1" si="407">m*g</f>
        <v>78.970499999999987</v>
      </c>
      <c r="U900" s="311">
        <f t="shared" ref="U900:U963" ca="1" si="408">IF(pos_xz&lt;L_rampe,Poids*COS(Beta),0)</f>
        <v>0</v>
      </c>
      <c r="V900" s="306">
        <f t="shared" ref="V900:V963" ca="1" si="409">Rho_moyen*(20000-Alt_rampe-pos_z)/(20000+Alt_rampe+pos_z)</f>
        <v>1.2259647524834061</v>
      </c>
      <c r="W900" s="304">
        <f t="shared" ref="W900:W963" ca="1" si="410">1/2*Rho*Sref*Cx*vit_xz^2</f>
        <v>58.350776488233215</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2.5108583404575882</v>
      </c>
      <c r="AH900" s="304">
        <f t="shared" ca="1" si="405"/>
        <v>-7.2485053274515909</v>
      </c>
    </row>
    <row r="901" spans="1:34" x14ac:dyDescent="0.3">
      <c r="A901" s="347">
        <f t="shared" ref="A901:A964" ca="1" si="412">IF(B900+0.01&lt;=T_ini+ROUNDUP(Temps_fin_propu,0), 0.01, IF(K900&gt;0, 0.1, 0.0001))</f>
        <v>1E-4</v>
      </c>
      <c r="B901" s="304">
        <f t="shared" ref="B901:B964" ca="1" si="413">B900+pas</f>
        <v>33.937800000001467</v>
      </c>
      <c r="D901" s="306">
        <f t="shared" ref="D901:D964" ca="1" si="414">IF(AND(L900&lt;L_rampe,Poussee&lt;Poids*SIN(M900)),0,(-W900+Poussee)/m*COS(M900)-U900/m*SIN(M900))</f>
        <v>-0.73552561030794794</v>
      </c>
      <c r="E901" s="307">
        <f t="shared" ref="E901:E964" ca="1" si="415">IF(AND(L900&lt;L_rampe,Poussee&lt;Poids*SIN(M900)),0,(-W900+Poussee)/m*SIN(M900)+U900/m*COS(M900)-Poids/m)</f>
        <v>-2.5988705938009042</v>
      </c>
      <c r="F901" s="304">
        <f t="shared" ref="F901:F964" ca="1" si="416">SQRT(acc_x^2+acc_z^2)</f>
        <v>2.700949145530501</v>
      </c>
      <c r="G901" s="306">
        <f t="shared" ref="G901:G964" ca="1" si="417">G900+acc_x*pas</f>
        <v>12.558497419614064</v>
      </c>
      <c r="H901" s="307">
        <f t="shared" ref="H901:H964" ca="1" si="418">H900+acc_z*pas</f>
        <v>-123.12510988293384</v>
      </c>
      <c r="I901" s="304">
        <f t="shared" ref="I901:I964" ca="1" si="419">SQRT(vit_x^2+vit_z^2)</f>
        <v>123.76392261528795</v>
      </c>
      <c r="J901" s="306">
        <f t="shared" ref="J901:J964" ca="1" si="420">J900+0.5*(vit_x+G900)*pas*(K900&gt;=0)</f>
        <v>780.60585379989482</v>
      </c>
      <c r="K901" s="307">
        <f t="shared" ref="K901:K964" ca="1" si="421">K900+0.5*(vit_z+H900)*pas</f>
        <v>-7.8847429964621591</v>
      </c>
      <c r="L901" s="304">
        <f t="shared" ca="1" si="406"/>
        <v>780.64567388718876</v>
      </c>
      <c r="M901" s="306">
        <f t="shared" ref="M901:M964" ca="1" si="422">IF(AND(L900&gt;L_rampe,G901&gt;0),ATAN2(G901,H901),$M$4)</f>
        <v>-1.4691499912937365</v>
      </c>
      <c r="N901" s="304">
        <f t="shared" ref="N901:N964" ca="1" si="423">DEGREES(Beta)</f>
        <v>-84.176093972812737</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8.0499999999999989</v>
      </c>
      <c r="T901" s="304">
        <f t="shared" ca="1" si="407"/>
        <v>78.970499999999987</v>
      </c>
      <c r="U901" s="311">
        <f t="shared" ca="1" si="408"/>
        <v>0</v>
      </c>
      <c r="V901" s="306">
        <f t="shared" ca="1" si="409"/>
        <v>1.2259662619534253</v>
      </c>
      <c r="W901" s="304">
        <f t="shared" ca="1" si="410"/>
        <v>58.35108508824527</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2.5108208054270857</v>
      </c>
      <c r="AH901" s="304">
        <f t="shared" ref="AH901:AH964" ca="1" si="434">IF(AND(L900&lt;L_rampe,Poussee&lt;Poids*SIN(M900)), g*SIN(M900), (-W900+Poussee)/m)</f>
        <v>-7.2485436631345621</v>
      </c>
    </row>
    <row r="902" spans="1:34" x14ac:dyDescent="0.3">
      <c r="A902" s="347">
        <f t="shared" ca="1" si="412"/>
        <v>1E-4</v>
      </c>
      <c r="B902" s="304">
        <f t="shared" ca="1" si="413"/>
        <v>33.93790000000147</v>
      </c>
      <c r="D902" s="306">
        <f t="shared" ca="1" si="414"/>
        <v>-0.73552370029097791</v>
      </c>
      <c r="E902" s="307">
        <f t="shared" ca="1" si="415"/>
        <v>-2.5988318646792532</v>
      </c>
      <c r="F902" s="304">
        <f t="shared" ca="1" si="416"/>
        <v>2.7009113599972094</v>
      </c>
      <c r="G902" s="306">
        <f t="shared" ca="1" si="417"/>
        <v>12.558423867244034</v>
      </c>
      <c r="H902" s="307">
        <f t="shared" ca="1" si="418"/>
        <v>-123.12536976612031</v>
      </c>
      <c r="I902" s="304">
        <f t="shared" ca="1" si="419"/>
        <v>123.76417369365507</v>
      </c>
      <c r="J902" s="306">
        <f t="shared" ca="1" si="420"/>
        <v>780.60585379989482</v>
      </c>
      <c r="K902" s="307">
        <f t="shared" ca="1" si="421"/>
        <v>-7.8970555204446118</v>
      </c>
      <c r="L902" s="304">
        <f t="shared" ca="1" si="406"/>
        <v>780.64579834426559</v>
      </c>
      <c r="M902" s="306">
        <f t="shared" ca="1" si="422"/>
        <v>-1.469150795593009</v>
      </c>
      <c r="N902" s="304">
        <f t="shared" ca="1" si="423"/>
        <v>-84.176140055766524</v>
      </c>
      <c r="P902" s="310">
        <f t="shared" ca="1" si="424"/>
        <v>23</v>
      </c>
      <c r="Q902" s="304">
        <f t="shared" ca="1" si="425"/>
        <v>0</v>
      </c>
      <c r="R902" s="306">
        <f t="shared" ca="1" si="426"/>
        <v>0</v>
      </c>
      <c r="S902" s="307">
        <f t="shared" ca="1" si="427"/>
        <v>8.0499999999999989</v>
      </c>
      <c r="T902" s="304">
        <f t="shared" ca="1" si="407"/>
        <v>78.970499999999987</v>
      </c>
      <c r="U902" s="311">
        <f t="shared" ca="1" si="408"/>
        <v>0</v>
      </c>
      <c r="V902" s="306">
        <f t="shared" ca="1" si="409"/>
        <v>1.2259677714284893</v>
      </c>
      <c r="W902" s="304">
        <f t="shared" ca="1" si="410"/>
        <v>58.351393686021453</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2.5107832706600792</v>
      </c>
      <c r="AH902" s="304">
        <f t="shared" ca="1" si="434"/>
        <v>-7.2485819985397857</v>
      </c>
    </row>
    <row r="903" spans="1:34" x14ac:dyDescent="0.3">
      <c r="A903" s="347">
        <f t="shared" ca="1" si="412"/>
        <v>1E-4</v>
      </c>
      <c r="B903" s="304">
        <f t="shared" ca="1" si="413"/>
        <v>33.938000000001473</v>
      </c>
      <c r="D903" s="306">
        <f t="shared" ca="1" si="414"/>
        <v>-0.73552179024150144</v>
      </c>
      <c r="E903" s="307">
        <f t="shared" ca="1" si="415"/>
        <v>-2.5987931358381893</v>
      </c>
      <c r="F903" s="304">
        <f t="shared" ca="1" si="416"/>
        <v>2.7008735747531305</v>
      </c>
      <c r="G903" s="306">
        <f t="shared" ca="1" si="417"/>
        <v>12.55835031506501</v>
      </c>
      <c r="H903" s="307">
        <f t="shared" ca="1" si="418"/>
        <v>-123.1256296454339</v>
      </c>
      <c r="I903" s="304">
        <f t="shared" ca="1" si="419"/>
        <v>123.76442476826871</v>
      </c>
      <c r="J903" s="306">
        <f t="shared" ca="1" si="420"/>
        <v>780.60585379989482</v>
      </c>
      <c r="K903" s="307">
        <f t="shared" ca="1" si="421"/>
        <v>-7.9093680704151899</v>
      </c>
      <c r="L903" s="304">
        <f t="shared" ca="1" si="406"/>
        <v>780.64592299578169</v>
      </c>
      <c r="M903" s="306">
        <f t="shared" ca="1" si="422"/>
        <v>-1.4691515998843074</v>
      </c>
      <c r="N903" s="304">
        <f t="shared" ca="1" si="423"/>
        <v>-84.176186138263418</v>
      </c>
      <c r="P903" s="310">
        <f t="shared" ca="1" si="424"/>
        <v>23</v>
      </c>
      <c r="Q903" s="304">
        <f t="shared" ca="1" si="425"/>
        <v>0</v>
      </c>
      <c r="R903" s="306">
        <f t="shared" ca="1" si="426"/>
        <v>0</v>
      </c>
      <c r="S903" s="307">
        <f t="shared" ca="1" si="427"/>
        <v>8.0499999999999989</v>
      </c>
      <c r="T903" s="304">
        <f t="shared" ca="1" si="407"/>
        <v>78.970499999999987</v>
      </c>
      <c r="U903" s="311">
        <f t="shared" ca="1" si="408"/>
        <v>0</v>
      </c>
      <c r="V903" s="306">
        <f t="shared" ca="1" si="409"/>
        <v>1.2259692809085994</v>
      </c>
      <c r="W903" s="304">
        <f t="shared" ca="1" si="410"/>
        <v>58.351702281561778</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2.5107457361565659</v>
      </c>
      <c r="AH903" s="304">
        <f t="shared" ca="1" si="434"/>
        <v>-7.2486203336672625</v>
      </c>
    </row>
    <row r="904" spans="1:34" x14ac:dyDescent="0.3">
      <c r="A904" s="347">
        <f t="shared" ca="1" si="412"/>
        <v>1E-4</v>
      </c>
      <c r="B904" s="304">
        <f t="shared" ca="1" si="413"/>
        <v>33.938100000001477</v>
      </c>
      <c r="D904" s="306">
        <f t="shared" ca="1" si="414"/>
        <v>-0.73551988015952163</v>
      </c>
      <c r="E904" s="307">
        <f t="shared" ca="1" si="415"/>
        <v>-2.5987544072777107</v>
      </c>
      <c r="F904" s="304">
        <f t="shared" ca="1" si="416"/>
        <v>2.700835789798262</v>
      </c>
      <c r="G904" s="306">
        <f t="shared" ca="1" si="417"/>
        <v>12.558276763076993</v>
      </c>
      <c r="H904" s="307">
        <f t="shared" ca="1" si="418"/>
        <v>-123.12588952087464</v>
      </c>
      <c r="I904" s="304">
        <f t="shared" ca="1" si="419"/>
        <v>123.76467583912894</v>
      </c>
      <c r="J904" s="306">
        <f t="shared" ca="1" si="420"/>
        <v>780.60585379989482</v>
      </c>
      <c r="K904" s="307">
        <f t="shared" ca="1" si="421"/>
        <v>-7.9216806463735052</v>
      </c>
      <c r="L904" s="304">
        <f t="shared" ca="1" si="406"/>
        <v>780.64604784173844</v>
      </c>
      <c r="M904" s="306">
        <f t="shared" ca="1" si="422"/>
        <v>-1.4691524041676323</v>
      </c>
      <c r="N904" s="304">
        <f t="shared" ca="1" si="423"/>
        <v>-84.176232220303461</v>
      </c>
      <c r="P904" s="310">
        <f t="shared" ca="1" si="424"/>
        <v>23</v>
      </c>
      <c r="Q904" s="304">
        <f t="shared" ca="1" si="425"/>
        <v>0</v>
      </c>
      <c r="R904" s="306">
        <f t="shared" ca="1" si="426"/>
        <v>0</v>
      </c>
      <c r="S904" s="307">
        <f t="shared" ca="1" si="427"/>
        <v>8.0499999999999989</v>
      </c>
      <c r="T904" s="304">
        <f t="shared" ca="1" si="407"/>
        <v>78.970499999999987</v>
      </c>
      <c r="U904" s="311">
        <f t="shared" ca="1" si="408"/>
        <v>0</v>
      </c>
      <c r="V904" s="306">
        <f t="shared" ca="1" si="409"/>
        <v>1.2259707903937545</v>
      </c>
      <c r="W904" s="304">
        <f t="shared" ca="1" si="410"/>
        <v>58.352010874866238</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2.5107082019165539</v>
      </c>
      <c r="AH904" s="304">
        <f t="shared" ca="1" si="434"/>
        <v>-7.2486586685169918</v>
      </c>
    </row>
    <row r="905" spans="1:34" x14ac:dyDescent="0.3">
      <c r="A905" s="347">
        <f t="shared" ca="1" si="412"/>
        <v>1E-4</v>
      </c>
      <c r="B905" s="304">
        <f t="shared" ca="1" si="413"/>
        <v>33.93820000000148</v>
      </c>
      <c r="D905" s="306">
        <f t="shared" ca="1" si="414"/>
        <v>-0.73551797004503683</v>
      </c>
      <c r="E905" s="307">
        <f t="shared" ca="1" si="415"/>
        <v>-2.5987156789978183</v>
      </c>
      <c r="F905" s="304">
        <f t="shared" ca="1" si="416"/>
        <v>2.7007980051326061</v>
      </c>
      <c r="G905" s="306">
        <f t="shared" ca="1" si="417"/>
        <v>12.558203211279988</v>
      </c>
      <c r="H905" s="307">
        <f t="shared" ca="1" si="418"/>
        <v>-123.12614939244254</v>
      </c>
      <c r="I905" s="304">
        <f t="shared" ca="1" si="419"/>
        <v>123.76492690623577</v>
      </c>
      <c r="J905" s="306">
        <f t="shared" ca="1" si="420"/>
        <v>780.60585379989482</v>
      </c>
      <c r="K905" s="307">
        <f t="shared" ca="1" si="421"/>
        <v>-7.9339932483191715</v>
      </c>
      <c r="L905" s="304">
        <f t="shared" ca="1" si="406"/>
        <v>780.64617288213685</v>
      </c>
      <c r="M905" s="306">
        <f t="shared" ca="1" si="422"/>
        <v>-1.4691532084429835</v>
      </c>
      <c r="N905" s="304">
        <f t="shared" ca="1" si="423"/>
        <v>-84.176278301886654</v>
      </c>
      <c r="P905" s="310">
        <f t="shared" ca="1" si="424"/>
        <v>23</v>
      </c>
      <c r="Q905" s="304">
        <f t="shared" ca="1" si="425"/>
        <v>0</v>
      </c>
      <c r="R905" s="306">
        <f t="shared" ca="1" si="426"/>
        <v>0</v>
      </c>
      <c r="S905" s="307">
        <f t="shared" ca="1" si="427"/>
        <v>8.0499999999999989</v>
      </c>
      <c r="T905" s="304">
        <f t="shared" ca="1" si="407"/>
        <v>78.970499999999987</v>
      </c>
      <c r="U905" s="311">
        <f t="shared" ca="1" si="408"/>
        <v>0</v>
      </c>
      <c r="V905" s="306">
        <f t="shared" ca="1" si="409"/>
        <v>1.2259722998839551</v>
      </c>
      <c r="W905" s="304">
        <f t="shared" ca="1" si="410"/>
        <v>58.352319465934819</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2.510670667940035</v>
      </c>
      <c r="AH905" s="304">
        <f t="shared" ca="1" si="434"/>
        <v>-7.2486970030889744</v>
      </c>
    </row>
    <row r="906" spans="1:34" x14ac:dyDescent="0.3">
      <c r="A906" s="347">
        <f t="shared" ca="1" si="412"/>
        <v>1E-4</v>
      </c>
      <c r="B906" s="304">
        <f t="shared" ca="1" si="413"/>
        <v>33.938300000001483</v>
      </c>
      <c r="D906" s="306">
        <f t="shared" ca="1" si="414"/>
        <v>-0.73551605989804858</v>
      </c>
      <c r="E906" s="307">
        <f t="shared" ca="1" si="415"/>
        <v>-2.598676950998513</v>
      </c>
      <c r="F906" s="304">
        <f t="shared" ca="1" si="416"/>
        <v>2.700760220756163</v>
      </c>
      <c r="G906" s="306">
        <f t="shared" ca="1" si="417"/>
        <v>12.558129659673998</v>
      </c>
      <c r="H906" s="307">
        <f t="shared" ca="1" si="418"/>
        <v>-123.12640926013765</v>
      </c>
      <c r="I906" s="304">
        <f t="shared" ca="1" si="419"/>
        <v>123.76517796958923</v>
      </c>
      <c r="J906" s="306">
        <f t="shared" ca="1" si="420"/>
        <v>780.60585379989482</v>
      </c>
      <c r="K906" s="307">
        <f t="shared" ca="1" si="421"/>
        <v>-7.9463058762518006</v>
      </c>
      <c r="L906" s="304">
        <f t="shared" ca="1" si="406"/>
        <v>780.64629811697796</v>
      </c>
      <c r="M906" s="306">
        <f t="shared" ca="1" si="422"/>
        <v>-1.4691540127103611</v>
      </c>
      <c r="N906" s="304">
        <f t="shared" ca="1" si="423"/>
        <v>-84.176324383012997</v>
      </c>
      <c r="P906" s="310">
        <f t="shared" ca="1" si="424"/>
        <v>23</v>
      </c>
      <c r="Q906" s="304">
        <f t="shared" ca="1" si="425"/>
        <v>0</v>
      </c>
      <c r="R906" s="306">
        <f t="shared" ca="1" si="426"/>
        <v>0</v>
      </c>
      <c r="S906" s="307">
        <f t="shared" ca="1" si="427"/>
        <v>8.0499999999999989</v>
      </c>
      <c r="T906" s="304">
        <f t="shared" ca="1" si="407"/>
        <v>78.970499999999987</v>
      </c>
      <c r="U906" s="311">
        <f t="shared" ca="1" si="408"/>
        <v>0</v>
      </c>
      <c r="V906" s="306">
        <f t="shared" ca="1" si="409"/>
        <v>1.2259738093792008</v>
      </c>
      <c r="W906" s="304">
        <f t="shared" ca="1" si="410"/>
        <v>58.352628054767507</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2.5106331342270165</v>
      </c>
      <c r="AH906" s="304">
        <f t="shared" ca="1" si="434"/>
        <v>-7.2487353373832084</v>
      </c>
    </row>
    <row r="907" spans="1:34" x14ac:dyDescent="0.3">
      <c r="A907" s="347">
        <f t="shared" ca="1" si="412"/>
        <v>1E-4</v>
      </c>
      <c r="B907" s="304">
        <f t="shared" ca="1" si="413"/>
        <v>33.938400000001486</v>
      </c>
      <c r="D907" s="306">
        <f t="shared" ca="1" si="414"/>
        <v>-0.73551414971855811</v>
      </c>
      <c r="E907" s="307">
        <f t="shared" ca="1" si="415"/>
        <v>-2.5986382232797984</v>
      </c>
      <c r="F907" s="304">
        <f t="shared" ca="1" si="416"/>
        <v>2.7007224366689373</v>
      </c>
      <c r="G907" s="306">
        <f t="shared" ca="1" si="417"/>
        <v>12.558056108259027</v>
      </c>
      <c r="H907" s="307">
        <f t="shared" ca="1" si="418"/>
        <v>-123.12666912395997</v>
      </c>
      <c r="I907" s="304">
        <f t="shared" ca="1" si="419"/>
        <v>123.76542902918932</v>
      </c>
      <c r="J907" s="306">
        <f t="shared" ca="1" si="420"/>
        <v>780.60585379989482</v>
      </c>
      <c r="K907" s="307">
        <f t="shared" ca="1" si="421"/>
        <v>-7.9586185301710053</v>
      </c>
      <c r="L907" s="304">
        <f t="shared" ca="1" si="406"/>
        <v>780.64642354626301</v>
      </c>
      <c r="M907" s="306">
        <f t="shared" ca="1" si="422"/>
        <v>-1.4691548169697652</v>
      </c>
      <c r="N907" s="304">
        <f t="shared" ca="1" si="423"/>
        <v>-84.176370463682488</v>
      </c>
      <c r="P907" s="310">
        <f t="shared" ca="1" si="424"/>
        <v>23</v>
      </c>
      <c r="Q907" s="304">
        <f t="shared" ca="1" si="425"/>
        <v>0</v>
      </c>
      <c r="R907" s="306">
        <f t="shared" ca="1" si="426"/>
        <v>0</v>
      </c>
      <c r="S907" s="307">
        <f t="shared" ca="1" si="427"/>
        <v>8.0499999999999989</v>
      </c>
      <c r="T907" s="304">
        <f t="shared" ca="1" si="407"/>
        <v>78.970499999999987</v>
      </c>
      <c r="U907" s="311">
        <f t="shared" ca="1" si="408"/>
        <v>0</v>
      </c>
      <c r="V907" s="306">
        <f t="shared" ca="1" si="409"/>
        <v>1.2259753188794913</v>
      </c>
      <c r="W907" s="304">
        <f t="shared" ca="1" si="410"/>
        <v>58.352936641364273</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2.5105956007774974</v>
      </c>
      <c r="AH907" s="304">
        <f t="shared" ca="1" si="434"/>
        <v>-7.2487736713996913</v>
      </c>
    </row>
    <row r="908" spans="1:34" x14ac:dyDescent="0.3">
      <c r="A908" s="347">
        <f t="shared" ca="1" si="412"/>
        <v>1E-4</v>
      </c>
      <c r="B908" s="304">
        <f t="shared" ca="1" si="413"/>
        <v>33.93850000000149</v>
      </c>
      <c r="D908" s="306">
        <f t="shared" ca="1" si="414"/>
        <v>-0.7355122395065653</v>
      </c>
      <c r="E908" s="307">
        <f t="shared" ca="1" si="415"/>
        <v>-2.5985994958416772</v>
      </c>
      <c r="F908" s="304">
        <f t="shared" ca="1" si="416"/>
        <v>2.700684652870931</v>
      </c>
      <c r="G908" s="306">
        <f t="shared" ca="1" si="417"/>
        <v>12.557982557035077</v>
      </c>
      <c r="H908" s="307">
        <f t="shared" ca="1" si="418"/>
        <v>-123.12692898390955</v>
      </c>
      <c r="I908" s="304">
        <f t="shared" ca="1" si="419"/>
        <v>123.76568008503611</v>
      </c>
      <c r="J908" s="306">
        <f t="shared" ca="1" si="420"/>
        <v>780.60585379989482</v>
      </c>
      <c r="K908" s="307">
        <f t="shared" ca="1" si="421"/>
        <v>-7.9709312100763992</v>
      </c>
      <c r="L908" s="304">
        <f t="shared" ca="1" si="406"/>
        <v>780.64654916999314</v>
      </c>
      <c r="M908" s="306">
        <f t="shared" ca="1" si="422"/>
        <v>-1.469155621221196</v>
      </c>
      <c r="N908" s="304">
        <f t="shared" ca="1" si="423"/>
        <v>-84.17641654389513</v>
      </c>
      <c r="P908" s="310">
        <f t="shared" ca="1" si="424"/>
        <v>23</v>
      </c>
      <c r="Q908" s="304">
        <f t="shared" ca="1" si="425"/>
        <v>0</v>
      </c>
      <c r="R908" s="306">
        <f t="shared" ca="1" si="426"/>
        <v>0</v>
      </c>
      <c r="S908" s="307">
        <f t="shared" ca="1" si="427"/>
        <v>8.0499999999999989</v>
      </c>
      <c r="T908" s="304">
        <f t="shared" ca="1" si="407"/>
        <v>78.970499999999987</v>
      </c>
      <c r="U908" s="311">
        <f t="shared" ca="1" si="408"/>
        <v>0</v>
      </c>
      <c r="V908" s="306">
        <f t="shared" ca="1" si="409"/>
        <v>1.2259768283848274</v>
      </c>
      <c r="W908" s="304">
        <f t="shared" ca="1" si="410"/>
        <v>58.353245225725168</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2.510558067591484</v>
      </c>
      <c r="AH908" s="304">
        <f t="shared" ca="1" si="434"/>
        <v>-7.2488120051384204</v>
      </c>
    </row>
    <row r="909" spans="1:34" x14ac:dyDescent="0.3">
      <c r="A909" s="347">
        <f t="shared" ca="1" si="412"/>
        <v>1E-4</v>
      </c>
      <c r="B909" s="304">
        <f t="shared" ca="1" si="413"/>
        <v>33.938600000001493</v>
      </c>
      <c r="D909" s="306">
        <f t="shared" ca="1" si="414"/>
        <v>-0.73551032926207194</v>
      </c>
      <c r="E909" s="307">
        <f t="shared" ca="1" si="415"/>
        <v>-2.598560768684143</v>
      </c>
      <c r="F909" s="304">
        <f t="shared" ca="1" si="416"/>
        <v>2.7006468693621395</v>
      </c>
      <c r="G909" s="306">
        <f t="shared" ca="1" si="417"/>
        <v>12.55790900600215</v>
      </c>
      <c r="H909" s="307">
        <f t="shared" ca="1" si="418"/>
        <v>-123.12718883998642</v>
      </c>
      <c r="I909" s="304">
        <f t="shared" ca="1" si="419"/>
        <v>123.7659311371296</v>
      </c>
      <c r="J909" s="306">
        <f t="shared" ca="1" si="420"/>
        <v>780.60585379989482</v>
      </c>
      <c r="K909" s="307">
        <f t="shared" ca="1" si="421"/>
        <v>-7.9832439159675941</v>
      </c>
      <c r="L909" s="304">
        <f t="shared" ca="1" si="406"/>
        <v>780.64667498816937</v>
      </c>
      <c r="M909" s="306">
        <f t="shared" ca="1" si="422"/>
        <v>-1.4691564254646539</v>
      </c>
      <c r="N909" s="304">
        <f t="shared" ca="1" si="423"/>
        <v>-84.176462623650977</v>
      </c>
      <c r="P909" s="310">
        <f t="shared" ca="1" si="424"/>
        <v>23</v>
      </c>
      <c r="Q909" s="304">
        <f t="shared" ca="1" si="425"/>
        <v>0</v>
      </c>
      <c r="R909" s="306">
        <f t="shared" ca="1" si="426"/>
        <v>0</v>
      </c>
      <c r="S909" s="307">
        <f t="shared" ca="1" si="427"/>
        <v>8.0499999999999989</v>
      </c>
      <c r="T909" s="304">
        <f t="shared" ca="1" si="407"/>
        <v>78.970499999999987</v>
      </c>
      <c r="U909" s="311">
        <f t="shared" ca="1" si="408"/>
        <v>0</v>
      </c>
      <c r="V909" s="306">
        <f t="shared" ca="1" si="409"/>
        <v>1.2259783378952089</v>
      </c>
      <c r="W909" s="304">
        <f t="shared" ca="1" si="410"/>
        <v>58.353553807850155</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2.5105205346689692</v>
      </c>
      <c r="AH909" s="304">
        <f t="shared" ca="1" si="434"/>
        <v>-7.248850338599401</v>
      </c>
    </row>
    <row r="910" spans="1:34" x14ac:dyDescent="0.3">
      <c r="A910" s="347">
        <f t="shared" ca="1" si="412"/>
        <v>1E-4</v>
      </c>
      <c r="B910" s="304">
        <f t="shared" ca="1" si="413"/>
        <v>33.938700000001496</v>
      </c>
      <c r="D910" s="306">
        <f t="shared" ca="1" si="414"/>
        <v>-0.73550841898507624</v>
      </c>
      <c r="E910" s="307">
        <f t="shared" ca="1" si="415"/>
        <v>-2.5985220418072004</v>
      </c>
      <c r="F910" s="304">
        <f t="shared" ca="1" si="416"/>
        <v>2.7006090861425665</v>
      </c>
      <c r="G910" s="306">
        <f t="shared" ca="1" si="417"/>
        <v>12.557835455160252</v>
      </c>
      <c r="H910" s="307">
        <f t="shared" ca="1" si="418"/>
        <v>-123.1274486921906</v>
      </c>
      <c r="I910" s="304">
        <f t="shared" ca="1" si="419"/>
        <v>123.76618218546983</v>
      </c>
      <c r="J910" s="306">
        <f t="shared" ca="1" si="420"/>
        <v>780.60585379989482</v>
      </c>
      <c r="K910" s="307">
        <f t="shared" ca="1" si="421"/>
        <v>-7.9955566478442028</v>
      </c>
      <c r="L910" s="304">
        <f t="shared" ca="1" si="406"/>
        <v>780.64680100079295</v>
      </c>
      <c r="M910" s="306">
        <f t="shared" ca="1" si="422"/>
        <v>-1.4691572297001385</v>
      </c>
      <c r="N910" s="304">
        <f t="shared" ca="1" si="423"/>
        <v>-84.176508702949974</v>
      </c>
      <c r="P910" s="310">
        <f t="shared" ca="1" si="424"/>
        <v>23</v>
      </c>
      <c r="Q910" s="304">
        <f t="shared" ca="1" si="425"/>
        <v>0</v>
      </c>
      <c r="R910" s="306">
        <f t="shared" ca="1" si="426"/>
        <v>0</v>
      </c>
      <c r="S910" s="307">
        <f t="shared" ca="1" si="427"/>
        <v>8.0499999999999989</v>
      </c>
      <c r="T910" s="304">
        <f t="shared" ca="1" si="407"/>
        <v>78.970499999999987</v>
      </c>
      <c r="U910" s="311">
        <f t="shared" ca="1" si="408"/>
        <v>0</v>
      </c>
      <c r="V910" s="306">
        <f t="shared" ca="1" si="409"/>
        <v>1.2259798474106351</v>
      </c>
      <c r="W910" s="304">
        <f t="shared" ca="1" si="410"/>
        <v>58.353862387739234</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2.5104830020099591</v>
      </c>
      <c r="AH910" s="304">
        <f t="shared" ca="1" si="434"/>
        <v>-7.2488886717826286</v>
      </c>
    </row>
    <row r="911" spans="1:34" x14ac:dyDescent="0.3">
      <c r="A911" s="347">
        <f t="shared" ca="1" si="412"/>
        <v>1E-4</v>
      </c>
      <c r="B911" s="304">
        <f t="shared" ca="1" si="413"/>
        <v>33.9388000000015</v>
      </c>
      <c r="D911" s="306">
        <f t="shared" ca="1" si="414"/>
        <v>-0.73550650867558143</v>
      </c>
      <c r="E911" s="307">
        <f t="shared" ca="1" si="415"/>
        <v>-2.5984833152108493</v>
      </c>
      <c r="F911" s="304">
        <f t="shared" ca="1" si="416"/>
        <v>2.7005713032122127</v>
      </c>
      <c r="G911" s="306">
        <f t="shared" ca="1" si="417"/>
        <v>12.557761904509384</v>
      </c>
      <c r="H911" s="307">
        <f t="shared" ca="1" si="418"/>
        <v>-123.12770854052212</v>
      </c>
      <c r="I911" s="304">
        <f t="shared" ca="1" si="419"/>
        <v>123.76643323005682</v>
      </c>
      <c r="J911" s="306">
        <f t="shared" ca="1" si="420"/>
        <v>780.60585379989482</v>
      </c>
      <c r="K911" s="307">
        <f t="shared" ca="1" si="421"/>
        <v>-8.0078694057058382</v>
      </c>
      <c r="L911" s="304">
        <f t="shared" ca="1" si="406"/>
        <v>780.64692720786491</v>
      </c>
      <c r="M911" s="306">
        <f t="shared" ca="1" si="422"/>
        <v>-1.4691580339276502</v>
      </c>
      <c r="N911" s="304">
        <f t="shared" ca="1" si="423"/>
        <v>-84.176554781792163</v>
      </c>
      <c r="P911" s="310">
        <f t="shared" ca="1" si="424"/>
        <v>23</v>
      </c>
      <c r="Q911" s="304">
        <f t="shared" ca="1" si="425"/>
        <v>0</v>
      </c>
      <c r="R911" s="306">
        <f t="shared" ca="1" si="426"/>
        <v>0</v>
      </c>
      <c r="S911" s="307">
        <f t="shared" ca="1" si="427"/>
        <v>8.0499999999999989</v>
      </c>
      <c r="T911" s="304">
        <f t="shared" ca="1" si="407"/>
        <v>78.970499999999987</v>
      </c>
      <c r="U911" s="311">
        <f t="shared" ca="1" si="408"/>
        <v>0</v>
      </c>
      <c r="V911" s="306">
        <f t="shared" ca="1" si="409"/>
        <v>1.2259813569311062</v>
      </c>
      <c r="W911" s="304">
        <f t="shared" ca="1" si="410"/>
        <v>58.35417096539237</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2.5104454696144529</v>
      </c>
      <c r="AH911" s="304">
        <f t="shared" ca="1" si="434"/>
        <v>-7.2489270046881042</v>
      </c>
    </row>
    <row r="912" spans="1:34" x14ac:dyDescent="0.3">
      <c r="A912" s="347">
        <f t="shared" ca="1" si="412"/>
        <v>1E-4</v>
      </c>
      <c r="B912" s="304">
        <f t="shared" ca="1" si="413"/>
        <v>33.938900000001503</v>
      </c>
      <c r="D912" s="306">
        <f t="shared" ca="1" si="414"/>
        <v>-0.73550459833358695</v>
      </c>
      <c r="E912" s="307">
        <f t="shared" ca="1" si="415"/>
        <v>-2.5984445888950942</v>
      </c>
      <c r="F912" s="304">
        <f t="shared" ca="1" si="416"/>
        <v>2.7005335205710828</v>
      </c>
      <c r="G912" s="306">
        <f t="shared" ca="1" si="417"/>
        <v>12.557688354049551</v>
      </c>
      <c r="H912" s="307">
        <f t="shared" ca="1" si="418"/>
        <v>-123.12796838498102</v>
      </c>
      <c r="I912" s="304">
        <f t="shared" ca="1" si="419"/>
        <v>123.76668427089059</v>
      </c>
      <c r="J912" s="306">
        <f t="shared" ca="1" si="420"/>
        <v>780.60585379989482</v>
      </c>
      <c r="K912" s="307">
        <f t="shared" ca="1" si="421"/>
        <v>-8.0201821895521128</v>
      </c>
      <c r="L912" s="304">
        <f t="shared" ca="1" si="406"/>
        <v>780.64705360938649</v>
      </c>
      <c r="M912" s="306">
        <f t="shared" ca="1" si="422"/>
        <v>-1.4691588381471892</v>
      </c>
      <c r="N912" s="304">
        <f t="shared" ca="1" si="423"/>
        <v>-84.176600860177544</v>
      </c>
      <c r="P912" s="310">
        <f t="shared" ca="1" si="424"/>
        <v>23</v>
      </c>
      <c r="Q912" s="304">
        <f t="shared" ca="1" si="425"/>
        <v>0</v>
      </c>
      <c r="R912" s="306">
        <f t="shared" ca="1" si="426"/>
        <v>0</v>
      </c>
      <c r="S912" s="307">
        <f t="shared" ca="1" si="427"/>
        <v>8.0499999999999989</v>
      </c>
      <c r="T912" s="304">
        <f t="shared" ca="1" si="407"/>
        <v>78.970499999999987</v>
      </c>
      <c r="U912" s="311">
        <f t="shared" ca="1" si="408"/>
        <v>0</v>
      </c>
      <c r="V912" s="306">
        <f t="shared" ca="1" si="409"/>
        <v>1.225982866456623</v>
      </c>
      <c r="W912" s="304">
        <f t="shared" ca="1" si="410"/>
        <v>58.354479540809621</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2.5104079374824533</v>
      </c>
      <c r="AH912" s="304">
        <f t="shared" ca="1" si="434"/>
        <v>-7.2489653373158234</v>
      </c>
    </row>
    <row r="913" spans="1:34" x14ac:dyDescent="0.3">
      <c r="A913" s="347">
        <f t="shared" ca="1" si="412"/>
        <v>1E-4</v>
      </c>
      <c r="B913" s="304">
        <f t="shared" ca="1" si="413"/>
        <v>33.939000000001506</v>
      </c>
      <c r="D913" s="306">
        <f t="shared" ca="1" si="414"/>
        <v>-0.73550268795909368</v>
      </c>
      <c r="E913" s="307">
        <f t="shared" ca="1" si="415"/>
        <v>-2.598405862859928</v>
      </c>
      <c r="F913" s="304">
        <f t="shared" ca="1" si="416"/>
        <v>2.7004957382191699</v>
      </c>
      <c r="G913" s="306">
        <f t="shared" ca="1" si="417"/>
        <v>12.557614803780755</v>
      </c>
      <c r="H913" s="307">
        <f t="shared" ca="1" si="418"/>
        <v>-123.1282282255673</v>
      </c>
      <c r="I913" s="304">
        <f t="shared" ca="1" si="419"/>
        <v>123.76693530797117</v>
      </c>
      <c r="J913" s="306">
        <f t="shared" ca="1" si="420"/>
        <v>780.60585379989482</v>
      </c>
      <c r="K913" s="307">
        <f t="shared" ca="1" si="421"/>
        <v>-8.0324949993826404</v>
      </c>
      <c r="L913" s="304">
        <f t="shared" ca="1" si="406"/>
        <v>780.64718020535872</v>
      </c>
      <c r="M913" s="306">
        <f t="shared" ca="1" si="422"/>
        <v>-1.4691596423587552</v>
      </c>
      <c r="N913" s="304">
        <f t="shared" ca="1" si="423"/>
        <v>-84.176646938106117</v>
      </c>
      <c r="P913" s="310">
        <f t="shared" ca="1" si="424"/>
        <v>23</v>
      </c>
      <c r="Q913" s="304">
        <f t="shared" ca="1" si="425"/>
        <v>0</v>
      </c>
      <c r="R913" s="306">
        <f t="shared" ca="1" si="426"/>
        <v>0</v>
      </c>
      <c r="S913" s="307">
        <f t="shared" ca="1" si="427"/>
        <v>8.0499999999999989</v>
      </c>
      <c r="T913" s="304">
        <f t="shared" ca="1" si="407"/>
        <v>78.970499999999987</v>
      </c>
      <c r="U913" s="311">
        <f t="shared" ca="1" si="408"/>
        <v>0</v>
      </c>
      <c r="V913" s="306">
        <f t="shared" ca="1" si="409"/>
        <v>1.225984375987184</v>
      </c>
      <c r="W913" s="304">
        <f t="shared" ca="1" si="410"/>
        <v>58.354788113990878</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2.5103704056139575</v>
      </c>
      <c r="AH913" s="304">
        <f t="shared" ca="1" si="434"/>
        <v>-7.2490036696657922</v>
      </c>
    </row>
    <row r="914" spans="1:34" x14ac:dyDescent="0.3">
      <c r="A914" s="347">
        <f t="shared" ca="1" si="412"/>
        <v>1E-4</v>
      </c>
      <c r="B914" s="304">
        <f t="shared" ca="1" si="413"/>
        <v>33.93910000000151</v>
      </c>
      <c r="D914" s="306">
        <f t="shared" ca="1" si="414"/>
        <v>-0.7355007775521033</v>
      </c>
      <c r="E914" s="307">
        <f t="shared" ca="1" si="415"/>
        <v>-2.598367137105364</v>
      </c>
      <c r="F914" s="304">
        <f t="shared" ca="1" si="416"/>
        <v>2.7004579561564874</v>
      </c>
      <c r="G914" s="306">
        <f t="shared" ca="1" si="417"/>
        <v>12.557541253703</v>
      </c>
      <c r="H914" s="307">
        <f t="shared" ca="1" si="418"/>
        <v>-123.12848806228101</v>
      </c>
      <c r="I914" s="304">
        <f t="shared" ca="1" si="419"/>
        <v>123.7671863412986</v>
      </c>
      <c r="J914" s="306">
        <f t="shared" ca="1" si="420"/>
        <v>780.60585379989482</v>
      </c>
      <c r="K914" s="307">
        <f t="shared" ca="1" si="421"/>
        <v>-8.044807835197032</v>
      </c>
      <c r="L914" s="304">
        <f t="shared" ca="1" si="406"/>
        <v>780.64730699578274</v>
      </c>
      <c r="M914" s="306">
        <f t="shared" ca="1" si="422"/>
        <v>-1.4691604465623489</v>
      </c>
      <c r="N914" s="304">
        <f t="shared" ca="1" si="423"/>
        <v>-84.176693015577911</v>
      </c>
      <c r="P914" s="310">
        <f t="shared" ca="1" si="424"/>
        <v>23</v>
      </c>
      <c r="Q914" s="304">
        <f t="shared" ca="1" si="425"/>
        <v>0</v>
      </c>
      <c r="R914" s="306">
        <f t="shared" ca="1" si="426"/>
        <v>0</v>
      </c>
      <c r="S914" s="307">
        <f t="shared" ca="1" si="427"/>
        <v>8.0499999999999989</v>
      </c>
      <c r="T914" s="304">
        <f t="shared" ca="1" si="407"/>
        <v>78.970499999999987</v>
      </c>
      <c r="U914" s="311">
        <f t="shared" ca="1" si="408"/>
        <v>0</v>
      </c>
      <c r="V914" s="306">
        <f t="shared" ca="1" si="409"/>
        <v>1.2259858855227908</v>
      </c>
      <c r="W914" s="304">
        <f t="shared" ca="1" si="410"/>
        <v>58.355096684936257</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2.5103328740089781</v>
      </c>
      <c r="AH914" s="304">
        <f t="shared" ca="1" si="434"/>
        <v>-7.2490420017379984</v>
      </c>
    </row>
    <row r="915" spans="1:34" x14ac:dyDescent="0.3">
      <c r="A915" s="347">
        <f t="shared" ca="1" si="412"/>
        <v>1E-4</v>
      </c>
      <c r="B915" s="304">
        <f t="shared" ca="1" si="413"/>
        <v>33.939200000001513</v>
      </c>
      <c r="D915" s="306">
        <f t="shared" ca="1" si="414"/>
        <v>-0.73549886711261403</v>
      </c>
      <c r="E915" s="307">
        <f t="shared" ca="1" si="415"/>
        <v>-2.5983284116313872</v>
      </c>
      <c r="F915" s="304">
        <f t="shared" ca="1" si="416"/>
        <v>2.7004201743830212</v>
      </c>
      <c r="G915" s="306">
        <f t="shared" ca="1" si="417"/>
        <v>12.55746770381629</v>
      </c>
      <c r="H915" s="307">
        <f t="shared" ca="1" si="418"/>
        <v>-123.12874789512217</v>
      </c>
      <c r="I915" s="304">
        <f t="shared" ca="1" si="419"/>
        <v>123.76743737087288</v>
      </c>
      <c r="J915" s="306">
        <f t="shared" ca="1" si="420"/>
        <v>780.60585379989482</v>
      </c>
      <c r="K915" s="307">
        <f t="shared" ca="1" si="421"/>
        <v>-8.0571206969949021</v>
      </c>
      <c r="L915" s="304">
        <f t="shared" ca="1" si="406"/>
        <v>780.6474339806598</v>
      </c>
      <c r="M915" s="306">
        <f t="shared" ca="1" si="422"/>
        <v>-1.4691612507579701</v>
      </c>
      <c r="N915" s="304">
        <f t="shared" ca="1" si="423"/>
        <v>-84.176739092592911</v>
      </c>
      <c r="P915" s="310">
        <f t="shared" ca="1" si="424"/>
        <v>23</v>
      </c>
      <c r="Q915" s="304">
        <f t="shared" ca="1" si="425"/>
        <v>0</v>
      </c>
      <c r="R915" s="306">
        <f t="shared" ca="1" si="426"/>
        <v>0</v>
      </c>
      <c r="S915" s="307">
        <f t="shared" ca="1" si="427"/>
        <v>8.0499999999999989</v>
      </c>
      <c r="T915" s="304">
        <f t="shared" ca="1" si="407"/>
        <v>78.970499999999987</v>
      </c>
      <c r="U915" s="311">
        <f t="shared" ca="1" si="408"/>
        <v>0</v>
      </c>
      <c r="V915" s="306">
        <f t="shared" ca="1" si="409"/>
        <v>1.2259873950634419</v>
      </c>
      <c r="W915" s="304">
        <f t="shared" ca="1" si="410"/>
        <v>58.355405253645642</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2.5102953426674981</v>
      </c>
      <c r="AH915" s="304">
        <f t="shared" ca="1" si="434"/>
        <v>-7.2490803335324552</v>
      </c>
    </row>
    <row r="916" spans="1:34" x14ac:dyDescent="0.3">
      <c r="A916" s="347">
        <f t="shared" ca="1" si="412"/>
        <v>1E-4</v>
      </c>
      <c r="B916" s="304">
        <f t="shared" ca="1" si="413"/>
        <v>33.939300000001516</v>
      </c>
      <c r="D916" s="306">
        <f t="shared" ca="1" si="414"/>
        <v>-0.73549695664062764</v>
      </c>
      <c r="E916" s="307">
        <f t="shared" ca="1" si="415"/>
        <v>-2.5982896864380134</v>
      </c>
      <c r="F916" s="304">
        <f t="shared" ca="1" si="416"/>
        <v>2.7003823928987862</v>
      </c>
      <c r="G916" s="306">
        <f t="shared" ca="1" si="417"/>
        <v>12.557394154120626</v>
      </c>
      <c r="H916" s="307">
        <f t="shared" ca="1" si="418"/>
        <v>-123.12900772409081</v>
      </c>
      <c r="I916" s="304">
        <f t="shared" ca="1" si="419"/>
        <v>123.76768839669406</v>
      </c>
      <c r="J916" s="306">
        <f t="shared" ca="1" si="420"/>
        <v>780.60585379989482</v>
      </c>
      <c r="K916" s="307">
        <f t="shared" ca="1" si="421"/>
        <v>-8.0694335847758634</v>
      </c>
      <c r="L916" s="304">
        <f t="shared" ca="1" si="406"/>
        <v>780.64756115999091</v>
      </c>
      <c r="M916" s="306">
        <f t="shared" ca="1" si="422"/>
        <v>-1.4691620549456188</v>
      </c>
      <c r="N916" s="304">
        <f t="shared" ca="1" si="423"/>
        <v>-84.176785169151117</v>
      </c>
      <c r="P916" s="310">
        <f t="shared" ca="1" si="424"/>
        <v>23</v>
      </c>
      <c r="Q916" s="304">
        <f t="shared" ca="1" si="425"/>
        <v>0</v>
      </c>
      <c r="R916" s="306">
        <f t="shared" ca="1" si="426"/>
        <v>0</v>
      </c>
      <c r="S916" s="307">
        <f t="shared" ca="1" si="427"/>
        <v>8.0499999999999989</v>
      </c>
      <c r="T916" s="304">
        <f t="shared" ca="1" si="407"/>
        <v>78.970499999999987</v>
      </c>
      <c r="U916" s="311">
        <f t="shared" ca="1" si="408"/>
        <v>0</v>
      </c>
      <c r="V916" s="306">
        <f t="shared" ca="1" si="409"/>
        <v>1.2259889046091386</v>
      </c>
      <c r="W916" s="304">
        <f t="shared" ca="1" si="410"/>
        <v>58.355713820119107</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2.5102578115895362</v>
      </c>
      <c r="AH916" s="304">
        <f t="shared" ca="1" si="434"/>
        <v>-7.2491186650491493</v>
      </c>
    </row>
    <row r="917" spans="1:34" x14ac:dyDescent="0.3">
      <c r="A917" s="347">
        <f t="shared" ca="1" si="412"/>
        <v>1E-4</v>
      </c>
      <c r="B917" s="304">
        <f t="shared" ca="1" si="413"/>
        <v>33.93940000000152</v>
      </c>
      <c r="D917" s="306">
        <f t="shared" ca="1" si="414"/>
        <v>-0.73549504613614658</v>
      </c>
      <c r="E917" s="307">
        <f t="shared" ca="1" si="415"/>
        <v>-2.5982509615252329</v>
      </c>
      <c r="F917" s="304">
        <f t="shared" ca="1" si="416"/>
        <v>2.7003446117037746</v>
      </c>
      <c r="G917" s="306">
        <f t="shared" ca="1" si="417"/>
        <v>12.557320604616013</v>
      </c>
      <c r="H917" s="307">
        <f t="shared" ca="1" si="418"/>
        <v>-123.12926754918696</v>
      </c>
      <c r="I917" s="304">
        <f t="shared" ca="1" si="419"/>
        <v>123.76793941876215</v>
      </c>
      <c r="J917" s="306">
        <f t="shared" ca="1" si="420"/>
        <v>780.60585379989482</v>
      </c>
      <c r="K917" s="307">
        <f t="shared" ca="1" si="421"/>
        <v>-8.0817464985395269</v>
      </c>
      <c r="L917" s="304">
        <f t="shared" ca="1" si="406"/>
        <v>780.64768853377723</v>
      </c>
      <c r="M917" s="306">
        <f t="shared" ca="1" si="422"/>
        <v>-1.4691628591252954</v>
      </c>
      <c r="N917" s="304">
        <f t="shared" ca="1" si="423"/>
        <v>-84.176831245252558</v>
      </c>
      <c r="P917" s="310">
        <f t="shared" ca="1" si="424"/>
        <v>23</v>
      </c>
      <c r="Q917" s="304">
        <f t="shared" ca="1" si="425"/>
        <v>0</v>
      </c>
      <c r="R917" s="306">
        <f t="shared" ca="1" si="426"/>
        <v>0</v>
      </c>
      <c r="S917" s="307">
        <f t="shared" ca="1" si="427"/>
        <v>8.0499999999999989</v>
      </c>
      <c r="T917" s="304">
        <f t="shared" ca="1" si="407"/>
        <v>78.970499999999987</v>
      </c>
      <c r="U917" s="311">
        <f t="shared" ca="1" si="408"/>
        <v>0</v>
      </c>
      <c r="V917" s="306">
        <f t="shared" ca="1" si="409"/>
        <v>1.2259904141598799</v>
      </c>
      <c r="W917" s="304">
        <f t="shared" ca="1" si="410"/>
        <v>58.356022384356606</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2.5102202807750791</v>
      </c>
      <c r="AH917" s="304">
        <f t="shared" ca="1" si="434"/>
        <v>-7.2491569962880886</v>
      </c>
    </row>
    <row r="918" spans="1:34" x14ac:dyDescent="0.3">
      <c r="A918" s="347">
        <f t="shared" ca="1" si="412"/>
        <v>1E-4</v>
      </c>
      <c r="B918" s="304">
        <f t="shared" ca="1" si="413"/>
        <v>33.939500000001523</v>
      </c>
      <c r="D918" s="306">
        <f t="shared" ca="1" si="414"/>
        <v>-0.73549313559916873</v>
      </c>
      <c r="E918" s="307">
        <f t="shared" ca="1" si="415"/>
        <v>-2.5982122368930511</v>
      </c>
      <c r="F918" s="304">
        <f t="shared" ca="1" si="416"/>
        <v>2.7003068307979912</v>
      </c>
      <c r="G918" s="306">
        <f t="shared" ca="1" si="417"/>
        <v>12.557247055302453</v>
      </c>
      <c r="H918" s="307">
        <f t="shared" ca="1" si="418"/>
        <v>-123.12952737041066</v>
      </c>
      <c r="I918" s="304">
        <f t="shared" ca="1" si="419"/>
        <v>123.76819043707721</v>
      </c>
      <c r="J918" s="306">
        <f t="shared" ca="1" si="420"/>
        <v>780.60585379989482</v>
      </c>
      <c r="K918" s="307">
        <f t="shared" ca="1" si="421"/>
        <v>-8.0940594382855071</v>
      </c>
      <c r="L918" s="304">
        <f t="shared" ca="1" si="406"/>
        <v>780.64781610201999</v>
      </c>
      <c r="M918" s="306">
        <f t="shared" ca="1" si="422"/>
        <v>-1.4691636632969998</v>
      </c>
      <c r="N918" s="304">
        <f t="shared" ca="1" si="423"/>
        <v>-84.176877320897219</v>
      </c>
      <c r="P918" s="310">
        <f t="shared" ca="1" si="424"/>
        <v>23</v>
      </c>
      <c r="Q918" s="304">
        <f t="shared" ca="1" si="425"/>
        <v>0</v>
      </c>
      <c r="R918" s="306">
        <f t="shared" ca="1" si="426"/>
        <v>0</v>
      </c>
      <c r="S918" s="307">
        <f t="shared" ca="1" si="427"/>
        <v>8.0499999999999989</v>
      </c>
      <c r="T918" s="304">
        <f t="shared" ca="1" si="407"/>
        <v>78.970499999999987</v>
      </c>
      <c r="U918" s="311">
        <f t="shared" ca="1" si="408"/>
        <v>0</v>
      </c>
      <c r="V918" s="306">
        <f t="shared" ca="1" si="409"/>
        <v>1.2259919237156656</v>
      </c>
      <c r="W918" s="304">
        <f t="shared" ca="1" si="410"/>
        <v>58.356330946358128</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2.5101827502241365</v>
      </c>
      <c r="AH918" s="304">
        <f t="shared" ca="1" si="434"/>
        <v>-7.2491953272492688</v>
      </c>
    </row>
    <row r="919" spans="1:34" x14ac:dyDescent="0.3">
      <c r="A919" s="347">
        <f t="shared" ca="1" si="412"/>
        <v>1E-4</v>
      </c>
      <c r="B919" s="304">
        <f t="shared" ca="1" si="413"/>
        <v>33.939600000001526</v>
      </c>
      <c r="D919" s="306">
        <f t="shared" ca="1" si="414"/>
        <v>-0.7354912250296971</v>
      </c>
      <c r="E919" s="307">
        <f t="shared" ca="1" si="415"/>
        <v>-2.5981735125414698</v>
      </c>
      <c r="F919" s="304">
        <f t="shared" ca="1" si="416"/>
        <v>2.7002690501814377</v>
      </c>
      <c r="G919" s="306">
        <f t="shared" ca="1" si="417"/>
        <v>12.55717350617995</v>
      </c>
      <c r="H919" s="307">
        <f t="shared" ca="1" si="418"/>
        <v>-123.12978718776191</v>
      </c>
      <c r="I919" s="304">
        <f t="shared" ca="1" si="419"/>
        <v>123.76844145163922</v>
      </c>
      <c r="J919" s="306">
        <f t="shared" ca="1" si="420"/>
        <v>780.60585379989482</v>
      </c>
      <c r="K919" s="307">
        <f t="shared" ca="1" si="421"/>
        <v>-8.1063724040134151</v>
      </c>
      <c r="L919" s="304">
        <f t="shared" ca="1" si="406"/>
        <v>780.64794386472022</v>
      </c>
      <c r="M919" s="306">
        <f t="shared" ca="1" si="422"/>
        <v>-1.4691644674607323</v>
      </c>
      <c r="N919" s="304">
        <f t="shared" ca="1" si="423"/>
        <v>-84.17692339608513</v>
      </c>
      <c r="P919" s="310">
        <f t="shared" ca="1" si="424"/>
        <v>23</v>
      </c>
      <c r="Q919" s="304">
        <f t="shared" ca="1" si="425"/>
        <v>0</v>
      </c>
      <c r="R919" s="306">
        <f t="shared" ca="1" si="426"/>
        <v>0</v>
      </c>
      <c r="S919" s="307">
        <f t="shared" ca="1" si="427"/>
        <v>8.0499999999999989</v>
      </c>
      <c r="T919" s="304">
        <f t="shared" ca="1" si="407"/>
        <v>78.970499999999987</v>
      </c>
      <c r="U919" s="311">
        <f t="shared" ca="1" si="408"/>
        <v>0</v>
      </c>
      <c r="V919" s="306">
        <f t="shared" ca="1" si="409"/>
        <v>1.2259934332764966</v>
      </c>
      <c r="W919" s="304">
        <f t="shared" ca="1" si="410"/>
        <v>58.356639506123685</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2.5101452199367111</v>
      </c>
      <c r="AH919" s="304">
        <f t="shared" ca="1" si="434"/>
        <v>-7.2492336579326873</v>
      </c>
    </row>
    <row r="920" spans="1:34" x14ac:dyDescent="0.3">
      <c r="A920" s="347">
        <f t="shared" ca="1" si="412"/>
        <v>1E-4</v>
      </c>
      <c r="B920" s="304">
        <f t="shared" ca="1" si="413"/>
        <v>33.93970000000153</v>
      </c>
      <c r="D920" s="306">
        <f t="shared" ca="1" si="414"/>
        <v>-0.73548931442773047</v>
      </c>
      <c r="E920" s="307">
        <f t="shared" ca="1" si="415"/>
        <v>-2.5981347884704871</v>
      </c>
      <c r="F920" s="304">
        <f t="shared" ca="1" si="416"/>
        <v>2.7002312698541129</v>
      </c>
      <c r="G920" s="306">
        <f t="shared" ca="1" si="417"/>
        <v>12.557099957248507</v>
      </c>
      <c r="H920" s="307">
        <f t="shared" ca="1" si="418"/>
        <v>-123.13004700124075</v>
      </c>
      <c r="I920" s="304">
        <f t="shared" ca="1" si="419"/>
        <v>123.76869246244823</v>
      </c>
      <c r="J920" s="306">
        <f t="shared" ca="1" si="420"/>
        <v>780.60585379989482</v>
      </c>
      <c r="K920" s="307">
        <f t="shared" ca="1" si="421"/>
        <v>-8.1186853957228653</v>
      </c>
      <c r="L920" s="304">
        <f t="shared" ca="1" si="406"/>
        <v>780.64807182187894</v>
      </c>
      <c r="M920" s="306">
        <f t="shared" ca="1" si="422"/>
        <v>-1.4691652716164929</v>
      </c>
      <c r="N920" s="304">
        <f t="shared" ca="1" si="423"/>
        <v>-84.176969470816275</v>
      </c>
      <c r="P920" s="310">
        <f t="shared" ca="1" si="424"/>
        <v>23</v>
      </c>
      <c r="Q920" s="304">
        <f t="shared" ca="1" si="425"/>
        <v>0</v>
      </c>
      <c r="R920" s="306">
        <f t="shared" ca="1" si="426"/>
        <v>0</v>
      </c>
      <c r="S920" s="307">
        <f t="shared" ca="1" si="427"/>
        <v>8.0499999999999989</v>
      </c>
      <c r="T920" s="304">
        <f t="shared" ca="1" si="407"/>
        <v>78.970499999999987</v>
      </c>
      <c r="U920" s="311">
        <f t="shared" ca="1" si="408"/>
        <v>0</v>
      </c>
      <c r="V920" s="306">
        <f t="shared" ca="1" si="409"/>
        <v>1.2259949428423722</v>
      </c>
      <c r="W920" s="304">
        <f t="shared" ca="1" si="410"/>
        <v>58.35694806365327</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2.5101076899127968</v>
      </c>
      <c r="AH920" s="304">
        <f t="shared" ca="1" si="434"/>
        <v>-7.2492719883383465</v>
      </c>
    </row>
    <row r="921" spans="1:34" x14ac:dyDescent="0.3">
      <c r="A921" s="347">
        <f t="shared" ca="1" si="412"/>
        <v>1E-4</v>
      </c>
      <c r="B921" s="304">
        <f t="shared" ca="1" si="413"/>
        <v>33.939800000001533</v>
      </c>
      <c r="D921" s="306">
        <f t="shared" ca="1" si="414"/>
        <v>-0.73548740379327004</v>
      </c>
      <c r="E921" s="307">
        <f t="shared" ca="1" si="415"/>
        <v>-2.5980960646801039</v>
      </c>
      <c r="F921" s="304">
        <f t="shared" ca="1" si="416"/>
        <v>2.700193489816018</v>
      </c>
      <c r="G921" s="306">
        <f t="shared" ca="1" si="417"/>
        <v>12.557026408508127</v>
      </c>
      <c r="H921" s="307">
        <f t="shared" ca="1" si="418"/>
        <v>-123.13030681084722</v>
      </c>
      <c r="I921" s="304">
        <f t="shared" ca="1" si="419"/>
        <v>123.76894346950425</v>
      </c>
      <c r="J921" s="306">
        <f t="shared" ca="1" si="420"/>
        <v>780.60585379989482</v>
      </c>
      <c r="K921" s="307">
        <f t="shared" ca="1" si="421"/>
        <v>-8.1309984134134705</v>
      </c>
      <c r="L921" s="304">
        <f t="shared" ca="1" si="406"/>
        <v>780.64819997349741</v>
      </c>
      <c r="M921" s="306">
        <f t="shared" ca="1" si="422"/>
        <v>-1.4691660757642819</v>
      </c>
      <c r="N921" s="304">
        <f t="shared" ca="1" si="423"/>
        <v>-84.177015545090697</v>
      </c>
      <c r="P921" s="310">
        <f t="shared" ca="1" si="424"/>
        <v>23</v>
      </c>
      <c r="Q921" s="304">
        <f t="shared" ca="1" si="425"/>
        <v>0</v>
      </c>
      <c r="R921" s="306">
        <f t="shared" ca="1" si="426"/>
        <v>0</v>
      </c>
      <c r="S921" s="307">
        <f t="shared" ca="1" si="427"/>
        <v>8.0499999999999989</v>
      </c>
      <c r="T921" s="304">
        <f t="shared" ca="1" si="407"/>
        <v>78.970499999999987</v>
      </c>
      <c r="U921" s="311">
        <f t="shared" ca="1" si="408"/>
        <v>0</v>
      </c>
      <c r="V921" s="306">
        <f t="shared" ca="1" si="409"/>
        <v>1.2259964524132927</v>
      </c>
      <c r="W921" s="304">
        <f t="shared" ca="1" si="410"/>
        <v>58.357256618946856</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2.5100701601523996</v>
      </c>
      <c r="AH921" s="304">
        <f t="shared" ca="1" si="434"/>
        <v>-7.2493103184662457</v>
      </c>
    </row>
    <row r="922" spans="1:34" x14ac:dyDescent="0.3">
      <c r="A922" s="347">
        <f t="shared" ca="1" si="412"/>
        <v>1E-4</v>
      </c>
      <c r="B922" s="304">
        <f t="shared" ca="1" si="413"/>
        <v>33.939900000001536</v>
      </c>
      <c r="D922" s="306">
        <f t="shared" ca="1" si="414"/>
        <v>-0.7354854931263155</v>
      </c>
      <c r="E922" s="307">
        <f t="shared" ca="1" si="415"/>
        <v>-2.5980573411703238</v>
      </c>
      <c r="F922" s="304">
        <f t="shared" ca="1" si="416"/>
        <v>2.7001557100671567</v>
      </c>
      <c r="G922" s="306">
        <f t="shared" ca="1" si="417"/>
        <v>12.556952859958814</v>
      </c>
      <c r="H922" s="307">
        <f t="shared" ca="1" si="418"/>
        <v>-123.13056661658133</v>
      </c>
      <c r="I922" s="304">
        <f t="shared" ca="1" si="419"/>
        <v>123.76919447280733</v>
      </c>
      <c r="J922" s="306">
        <f t="shared" ca="1" si="420"/>
        <v>780.60585379989482</v>
      </c>
      <c r="K922" s="307">
        <f t="shared" ca="1" si="421"/>
        <v>-8.1433114570848417</v>
      </c>
      <c r="L922" s="304">
        <f t="shared" ca="1" si="406"/>
        <v>780.64832831957676</v>
      </c>
      <c r="M922" s="306">
        <f t="shared" ca="1" si="422"/>
        <v>-1.4691668799040991</v>
      </c>
      <c r="N922" s="304">
        <f t="shared" ca="1" si="423"/>
        <v>-84.177061618908354</v>
      </c>
      <c r="P922" s="310">
        <f t="shared" ca="1" si="424"/>
        <v>23</v>
      </c>
      <c r="Q922" s="304">
        <f t="shared" ca="1" si="425"/>
        <v>0</v>
      </c>
      <c r="R922" s="306">
        <f t="shared" ca="1" si="426"/>
        <v>0</v>
      </c>
      <c r="S922" s="307">
        <f t="shared" ca="1" si="427"/>
        <v>8.0499999999999989</v>
      </c>
      <c r="T922" s="304">
        <f t="shared" ca="1" si="407"/>
        <v>78.970499999999987</v>
      </c>
      <c r="U922" s="311">
        <f t="shared" ca="1" si="408"/>
        <v>0</v>
      </c>
      <c r="V922" s="306">
        <f t="shared" ca="1" si="409"/>
        <v>1.2259979619892583</v>
      </c>
      <c r="W922" s="304">
        <f t="shared" ca="1" si="410"/>
        <v>58.357565172004485</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2.5100326306555187</v>
      </c>
      <c r="AH922" s="304">
        <f t="shared" ca="1" si="434"/>
        <v>-7.2493486483163805</v>
      </c>
    </row>
    <row r="923" spans="1:34" x14ac:dyDescent="0.3">
      <c r="A923" s="347">
        <f t="shared" ca="1" si="412"/>
        <v>1E-4</v>
      </c>
      <c r="B923" s="304">
        <f t="shared" ca="1" si="413"/>
        <v>33.94000000000154</v>
      </c>
      <c r="D923" s="306">
        <f t="shared" ca="1" si="414"/>
        <v>-0.73548358242687073</v>
      </c>
      <c r="E923" s="307">
        <f t="shared" ca="1" si="415"/>
        <v>-2.5980186179411406</v>
      </c>
      <c r="F923" s="304">
        <f t="shared" ca="1" si="416"/>
        <v>2.700117930607524</v>
      </c>
      <c r="G923" s="306">
        <f t="shared" ca="1" si="417"/>
        <v>12.556879311600571</v>
      </c>
      <c r="H923" s="307">
        <f t="shared" ca="1" si="418"/>
        <v>-123.13082641844312</v>
      </c>
      <c r="I923" s="304">
        <f t="shared" ca="1" si="419"/>
        <v>123.76944547235749</v>
      </c>
      <c r="J923" s="306">
        <f t="shared" ca="1" si="420"/>
        <v>780.60585379989482</v>
      </c>
      <c r="K923" s="307">
        <f t="shared" ca="1" si="421"/>
        <v>-8.1556245267365934</v>
      </c>
      <c r="L923" s="304">
        <f t="shared" ca="1" si="406"/>
        <v>780.64845686011824</v>
      </c>
      <c r="M923" s="306">
        <f t="shared" ca="1" si="422"/>
        <v>-1.4691676840359449</v>
      </c>
      <c r="N923" s="304">
        <f t="shared" ca="1" si="423"/>
        <v>-84.177107692269288</v>
      </c>
      <c r="P923" s="310">
        <f t="shared" ca="1" si="424"/>
        <v>23</v>
      </c>
      <c r="Q923" s="304">
        <f t="shared" ca="1" si="425"/>
        <v>0</v>
      </c>
      <c r="R923" s="306">
        <f t="shared" ca="1" si="426"/>
        <v>0</v>
      </c>
      <c r="S923" s="307">
        <f t="shared" ca="1" si="427"/>
        <v>8.0499999999999989</v>
      </c>
      <c r="T923" s="304">
        <f t="shared" ca="1" si="407"/>
        <v>78.970499999999987</v>
      </c>
      <c r="U923" s="311">
        <f t="shared" ca="1" si="408"/>
        <v>0</v>
      </c>
      <c r="V923" s="306">
        <f t="shared" ca="1" si="409"/>
        <v>1.2259994715702682</v>
      </c>
      <c r="W923" s="304">
        <f t="shared" ca="1" si="410"/>
        <v>58.357873722826085</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2.5099951014221533</v>
      </c>
      <c r="AH923" s="304">
        <f t="shared" ca="1" si="434"/>
        <v>-7.249386977888757</v>
      </c>
    </row>
    <row r="924" spans="1:34" x14ac:dyDescent="0.3">
      <c r="A924" s="347">
        <f t="shared" ca="1" si="412"/>
        <v>1E-4</v>
      </c>
      <c r="B924" s="304">
        <f t="shared" ca="1" si="413"/>
        <v>33.940100000001543</v>
      </c>
      <c r="D924" s="306">
        <f t="shared" ca="1" si="414"/>
        <v>-0.73548167169493306</v>
      </c>
      <c r="E924" s="307">
        <f t="shared" ca="1" si="415"/>
        <v>-2.597979894992565</v>
      </c>
      <c r="F924" s="304">
        <f t="shared" ca="1" si="416"/>
        <v>2.7000801514371293</v>
      </c>
      <c r="G924" s="306">
        <f t="shared" ca="1" si="417"/>
        <v>12.556805763433402</v>
      </c>
      <c r="H924" s="307">
        <f t="shared" ca="1" si="418"/>
        <v>-123.13108621643262</v>
      </c>
      <c r="I924" s="304">
        <f t="shared" ca="1" si="419"/>
        <v>123.76969646815475</v>
      </c>
      <c r="J924" s="306">
        <f t="shared" ca="1" si="420"/>
        <v>780.60585379989482</v>
      </c>
      <c r="K924" s="307">
        <f t="shared" ca="1" si="421"/>
        <v>-8.1679376223683366</v>
      </c>
      <c r="L924" s="304">
        <f t="shared" ca="1" si="406"/>
        <v>780.64858559512277</v>
      </c>
      <c r="M924" s="306">
        <f t="shared" ca="1" si="422"/>
        <v>-1.469168488159819</v>
      </c>
      <c r="N924" s="304">
        <f t="shared" ca="1" si="423"/>
        <v>-84.177153765173486</v>
      </c>
      <c r="P924" s="310">
        <f t="shared" ca="1" si="424"/>
        <v>23</v>
      </c>
      <c r="Q924" s="304">
        <f t="shared" ca="1" si="425"/>
        <v>0</v>
      </c>
      <c r="R924" s="306">
        <f t="shared" ca="1" si="426"/>
        <v>0</v>
      </c>
      <c r="S924" s="307">
        <f t="shared" ca="1" si="427"/>
        <v>8.0499999999999989</v>
      </c>
      <c r="T924" s="304">
        <f t="shared" ca="1" si="407"/>
        <v>78.970499999999987</v>
      </c>
      <c r="U924" s="311">
        <f t="shared" ca="1" si="408"/>
        <v>0</v>
      </c>
      <c r="V924" s="306">
        <f t="shared" ca="1" si="409"/>
        <v>1.2260009811563226</v>
      </c>
      <c r="W924" s="304">
        <f t="shared" ca="1" si="410"/>
        <v>58.358182271411678</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2.5099575724523113</v>
      </c>
      <c r="AH924" s="304">
        <f t="shared" ca="1" si="434"/>
        <v>-7.2494253071833654</v>
      </c>
    </row>
    <row r="925" spans="1:34" x14ac:dyDescent="0.3">
      <c r="A925" s="347">
        <f t="shared" ca="1" si="412"/>
        <v>1E-4</v>
      </c>
      <c r="B925" s="304">
        <f t="shared" ca="1" si="413"/>
        <v>33.940200000001546</v>
      </c>
      <c r="D925" s="306">
        <f t="shared" ca="1" si="414"/>
        <v>-0.73547976093050593</v>
      </c>
      <c r="E925" s="307">
        <f t="shared" ca="1" si="415"/>
        <v>-2.5979411723245933</v>
      </c>
      <c r="F925" s="304">
        <f t="shared" ca="1" si="416"/>
        <v>2.7000423725559708</v>
      </c>
      <c r="G925" s="306">
        <f t="shared" ca="1" si="417"/>
        <v>12.556732215457309</v>
      </c>
      <c r="H925" s="307">
        <f t="shared" ca="1" si="418"/>
        <v>-123.13134601054985</v>
      </c>
      <c r="I925" s="304">
        <f t="shared" ca="1" si="419"/>
        <v>123.76994746019913</v>
      </c>
      <c r="J925" s="306">
        <f t="shared" ca="1" si="420"/>
        <v>780.60585379989482</v>
      </c>
      <c r="K925" s="307">
        <f t="shared" ca="1" si="421"/>
        <v>-8.1802507439796859</v>
      </c>
      <c r="L925" s="304">
        <f t="shared" ca="1" si="406"/>
        <v>780.64871452459147</v>
      </c>
      <c r="M925" s="306">
        <f t="shared" ca="1" si="422"/>
        <v>-1.4691692922757222</v>
      </c>
      <c r="N925" s="304">
        <f t="shared" ca="1" si="423"/>
        <v>-84.177199837620975</v>
      </c>
      <c r="P925" s="310">
        <f t="shared" ca="1" si="424"/>
        <v>23</v>
      </c>
      <c r="Q925" s="304">
        <f t="shared" ca="1" si="425"/>
        <v>0</v>
      </c>
      <c r="R925" s="306">
        <f t="shared" ca="1" si="426"/>
        <v>0</v>
      </c>
      <c r="S925" s="307">
        <f t="shared" ca="1" si="427"/>
        <v>8.0499999999999989</v>
      </c>
      <c r="T925" s="304">
        <f t="shared" ca="1" si="407"/>
        <v>78.970499999999987</v>
      </c>
      <c r="U925" s="311">
        <f t="shared" ca="1" si="408"/>
        <v>0</v>
      </c>
      <c r="V925" s="306">
        <f t="shared" ca="1" si="409"/>
        <v>1.2260024907474216</v>
      </c>
      <c r="W925" s="304">
        <f t="shared" ca="1" si="410"/>
        <v>58.358490817761258</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2.5099200437459892</v>
      </c>
      <c r="AH925" s="304">
        <f t="shared" ca="1" si="434"/>
        <v>-7.2494636362002094</v>
      </c>
    </row>
    <row r="926" spans="1:34" x14ac:dyDescent="0.3">
      <c r="A926" s="347">
        <f t="shared" ca="1" si="412"/>
        <v>1E-4</v>
      </c>
      <c r="B926" s="304">
        <f t="shared" ca="1" si="413"/>
        <v>33.94030000000155</v>
      </c>
      <c r="D926" s="306">
        <f t="shared" ca="1" si="414"/>
        <v>-0.73547785013358624</v>
      </c>
      <c r="E926" s="307">
        <f t="shared" ca="1" si="415"/>
        <v>-2.5979024499372256</v>
      </c>
      <c r="F926" s="304">
        <f t="shared" ca="1" si="416"/>
        <v>2.7000045939640476</v>
      </c>
      <c r="G926" s="306">
        <f t="shared" ca="1" si="417"/>
        <v>12.556658667672295</v>
      </c>
      <c r="H926" s="307">
        <f t="shared" ca="1" si="418"/>
        <v>-123.13160580079484</v>
      </c>
      <c r="I926" s="304">
        <f t="shared" ca="1" si="419"/>
        <v>123.77019844849067</v>
      </c>
      <c r="J926" s="306">
        <f t="shared" ca="1" si="420"/>
        <v>780.60585379989482</v>
      </c>
      <c r="K926" s="307">
        <f t="shared" ca="1" si="421"/>
        <v>-8.1925638915702539</v>
      </c>
      <c r="L926" s="304">
        <f t="shared" ca="1" si="406"/>
        <v>780.6488436485256</v>
      </c>
      <c r="M926" s="306">
        <f t="shared" ca="1" si="422"/>
        <v>-1.469170096383654</v>
      </c>
      <c r="N926" s="304">
        <f t="shared" ca="1" si="423"/>
        <v>-84.177245909611742</v>
      </c>
      <c r="P926" s="310">
        <f t="shared" ca="1" si="424"/>
        <v>23</v>
      </c>
      <c r="Q926" s="304">
        <f t="shared" ca="1" si="425"/>
        <v>0</v>
      </c>
      <c r="R926" s="306">
        <f t="shared" ca="1" si="426"/>
        <v>0</v>
      </c>
      <c r="S926" s="307">
        <f t="shared" ca="1" si="427"/>
        <v>8.0499999999999989</v>
      </c>
      <c r="T926" s="304">
        <f t="shared" ca="1" si="407"/>
        <v>78.970499999999987</v>
      </c>
      <c r="U926" s="311">
        <f t="shared" ca="1" si="408"/>
        <v>0</v>
      </c>
      <c r="V926" s="306">
        <f t="shared" ca="1" si="409"/>
        <v>1.2260040003435657</v>
      </c>
      <c r="W926" s="304">
        <f t="shared" ca="1" si="410"/>
        <v>58.358799361874844</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2.5098825153031878</v>
      </c>
      <c r="AH926" s="304">
        <f t="shared" ca="1" si="434"/>
        <v>-7.249501964939288</v>
      </c>
    </row>
    <row r="927" spans="1:34" x14ac:dyDescent="0.3">
      <c r="A927" s="347">
        <f t="shared" ca="1" si="412"/>
        <v>1E-4</v>
      </c>
      <c r="B927" s="304">
        <f t="shared" ca="1" si="413"/>
        <v>33.940400000001553</v>
      </c>
      <c r="D927" s="306">
        <f t="shared" ca="1" si="414"/>
        <v>-0.73547593930417876</v>
      </c>
      <c r="E927" s="307">
        <f t="shared" ca="1" si="415"/>
        <v>-2.597863727830461</v>
      </c>
      <c r="F927" s="304">
        <f t="shared" ca="1" si="416"/>
        <v>2.6999668156613597</v>
      </c>
      <c r="G927" s="306">
        <f t="shared" ca="1" si="417"/>
        <v>12.556585120078365</v>
      </c>
      <c r="H927" s="307">
        <f t="shared" ca="1" si="418"/>
        <v>-123.13186558716762</v>
      </c>
      <c r="I927" s="304">
        <f t="shared" ca="1" si="419"/>
        <v>123.7704494330294</v>
      </c>
      <c r="J927" s="306">
        <f t="shared" ca="1" si="420"/>
        <v>780.60585379989482</v>
      </c>
      <c r="K927" s="307">
        <f t="shared" ca="1" si="421"/>
        <v>-8.2048770651396516</v>
      </c>
      <c r="L927" s="304">
        <f t="shared" ca="1" si="406"/>
        <v>780.64897296692629</v>
      </c>
      <c r="M927" s="306">
        <f t="shared" ca="1" si="422"/>
        <v>-1.4691709004836149</v>
      </c>
      <c r="N927" s="304">
        <f t="shared" ca="1" si="423"/>
        <v>-84.177291981145814</v>
      </c>
      <c r="P927" s="310">
        <f t="shared" ca="1" si="424"/>
        <v>23</v>
      </c>
      <c r="Q927" s="304">
        <f t="shared" ca="1" si="425"/>
        <v>0</v>
      </c>
      <c r="R927" s="306">
        <f t="shared" ca="1" si="426"/>
        <v>0</v>
      </c>
      <c r="S927" s="307">
        <f t="shared" ca="1" si="427"/>
        <v>8.0499999999999989</v>
      </c>
      <c r="T927" s="304">
        <f t="shared" ca="1" si="407"/>
        <v>78.970499999999987</v>
      </c>
      <c r="U927" s="311">
        <f t="shared" ca="1" si="408"/>
        <v>0</v>
      </c>
      <c r="V927" s="306">
        <f t="shared" ca="1" si="409"/>
        <v>1.2260055099447538</v>
      </c>
      <c r="W927" s="304">
        <f t="shared" ca="1" si="410"/>
        <v>58.35910790375236</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2.5098449871239055</v>
      </c>
      <c r="AH927" s="304">
        <f t="shared" ca="1" si="434"/>
        <v>-7.249540293400603</v>
      </c>
    </row>
    <row r="928" spans="1:34" x14ac:dyDescent="0.3">
      <c r="A928" s="347">
        <f t="shared" ca="1" si="412"/>
        <v>1E-4</v>
      </c>
      <c r="B928" s="304">
        <f t="shared" ca="1" si="413"/>
        <v>33.940500000001556</v>
      </c>
      <c r="D928" s="306">
        <f t="shared" ca="1" si="414"/>
        <v>-0.73547402844228116</v>
      </c>
      <c r="E928" s="307">
        <f t="shared" ca="1" si="415"/>
        <v>-2.5978250060043093</v>
      </c>
      <c r="F928" s="304">
        <f t="shared" ca="1" si="416"/>
        <v>2.6999290376479168</v>
      </c>
      <c r="G928" s="306">
        <f t="shared" ca="1" si="417"/>
        <v>12.556511572675522</v>
      </c>
      <c r="H928" s="307">
        <f t="shared" ca="1" si="418"/>
        <v>-123.13212536966823</v>
      </c>
      <c r="I928" s="304">
        <f t="shared" ca="1" si="419"/>
        <v>123.77070041381535</v>
      </c>
      <c r="J928" s="306">
        <f t="shared" ca="1" si="420"/>
        <v>780.60585379989482</v>
      </c>
      <c r="K928" s="307">
        <f t="shared" ca="1" si="421"/>
        <v>-8.2171902646874937</v>
      </c>
      <c r="L928" s="304">
        <f t="shared" ca="1" si="406"/>
        <v>780.64910247979458</v>
      </c>
      <c r="M928" s="306">
        <f t="shared" ca="1" si="422"/>
        <v>-1.469171704575605</v>
      </c>
      <c r="N928" s="304">
        <f t="shared" ca="1" si="423"/>
        <v>-84.177338052223178</v>
      </c>
      <c r="P928" s="310">
        <f t="shared" ca="1" si="424"/>
        <v>23</v>
      </c>
      <c r="Q928" s="304">
        <f t="shared" ca="1" si="425"/>
        <v>0</v>
      </c>
      <c r="R928" s="306">
        <f t="shared" ca="1" si="426"/>
        <v>0</v>
      </c>
      <c r="S928" s="307">
        <f t="shared" ca="1" si="427"/>
        <v>8.0499999999999989</v>
      </c>
      <c r="T928" s="304">
        <f t="shared" ca="1" si="407"/>
        <v>78.970499999999987</v>
      </c>
      <c r="U928" s="311">
        <f t="shared" ca="1" si="408"/>
        <v>0</v>
      </c>
      <c r="V928" s="306">
        <f t="shared" ca="1" si="409"/>
        <v>1.2260070195509869</v>
      </c>
      <c r="W928" s="304">
        <f t="shared" ca="1" si="410"/>
        <v>58.359416443393911</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2.5098074592081554</v>
      </c>
      <c r="AH928" s="304">
        <f t="shared" ca="1" si="434"/>
        <v>-7.2495786215841447</v>
      </c>
    </row>
    <row r="929" spans="1:34" x14ac:dyDescent="0.3">
      <c r="A929" s="347">
        <f t="shared" ca="1" si="412"/>
        <v>1E-4</v>
      </c>
      <c r="B929" s="304">
        <f t="shared" ca="1" si="413"/>
        <v>33.94060000000156</v>
      </c>
      <c r="D929" s="306">
        <f t="shared" ca="1" si="414"/>
        <v>-0.73547211754789477</v>
      </c>
      <c r="E929" s="307">
        <f t="shared" ca="1" si="415"/>
        <v>-2.5977862844587545</v>
      </c>
      <c r="F929" s="304">
        <f t="shared" ca="1" si="416"/>
        <v>2.6998912599237039</v>
      </c>
      <c r="G929" s="306">
        <f t="shared" ca="1" si="417"/>
        <v>12.556438025463766</v>
      </c>
      <c r="H929" s="307">
        <f t="shared" ca="1" si="418"/>
        <v>-123.13238514829668</v>
      </c>
      <c r="I929" s="304">
        <f t="shared" ca="1" si="419"/>
        <v>123.77095139084851</v>
      </c>
      <c r="J929" s="306">
        <f t="shared" ca="1" si="420"/>
        <v>780.60585379989482</v>
      </c>
      <c r="K929" s="307">
        <f t="shared" ca="1" si="421"/>
        <v>-8.2295034902133928</v>
      </c>
      <c r="L929" s="304">
        <f t="shared" ca="1" si="406"/>
        <v>780.64923218713159</v>
      </c>
      <c r="M929" s="306">
        <f t="shared" ca="1" si="422"/>
        <v>-1.4691725086596241</v>
      </c>
      <c r="N929" s="304">
        <f t="shared" ca="1" si="423"/>
        <v>-84.177384122843847</v>
      </c>
      <c r="P929" s="310">
        <f t="shared" ca="1" si="424"/>
        <v>23</v>
      </c>
      <c r="Q929" s="304">
        <f t="shared" ca="1" si="425"/>
        <v>0</v>
      </c>
      <c r="R929" s="306">
        <f t="shared" ca="1" si="426"/>
        <v>0</v>
      </c>
      <c r="S929" s="307">
        <f t="shared" ca="1" si="427"/>
        <v>8.0499999999999989</v>
      </c>
      <c r="T929" s="304">
        <f t="shared" ca="1" si="407"/>
        <v>78.970499999999987</v>
      </c>
      <c r="U929" s="311">
        <f t="shared" ca="1" si="408"/>
        <v>0</v>
      </c>
      <c r="V929" s="306">
        <f t="shared" ca="1" si="409"/>
        <v>1.2260085291622642</v>
      </c>
      <c r="W929" s="304">
        <f t="shared" ca="1" si="410"/>
        <v>58.359724980799371</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2.509769931555919</v>
      </c>
      <c r="AH929" s="304">
        <f t="shared" ca="1" si="434"/>
        <v>-7.2496169494899281</v>
      </c>
    </row>
    <row r="930" spans="1:34" x14ac:dyDescent="0.3">
      <c r="A930" s="347">
        <f t="shared" ca="1" si="412"/>
        <v>1E-4</v>
      </c>
      <c r="B930" s="304">
        <f t="shared" ca="1" si="413"/>
        <v>33.940700000001563</v>
      </c>
      <c r="D930" s="306">
        <f t="shared" ca="1" si="414"/>
        <v>-0.73547020662102081</v>
      </c>
      <c r="E930" s="307">
        <f t="shared" ca="1" si="415"/>
        <v>-2.5977475631938143</v>
      </c>
      <c r="F930" s="304">
        <f t="shared" ca="1" si="416"/>
        <v>2.6998534824887384</v>
      </c>
      <c r="G930" s="306">
        <f t="shared" ca="1" si="417"/>
        <v>12.556364478443104</v>
      </c>
      <c r="H930" s="307">
        <f t="shared" ca="1" si="418"/>
        <v>-123.13264492305299</v>
      </c>
      <c r="I930" s="304">
        <f t="shared" ca="1" si="419"/>
        <v>123.77120236412894</v>
      </c>
      <c r="J930" s="306">
        <f t="shared" ca="1" si="420"/>
        <v>780.60585379989482</v>
      </c>
      <c r="K930" s="307">
        <f t="shared" ca="1" si="421"/>
        <v>-8.2418167417169599</v>
      </c>
      <c r="L930" s="304">
        <f t="shared" ca="1" si="406"/>
        <v>780.64936208893857</v>
      </c>
      <c r="M930" s="306">
        <f t="shared" ca="1" si="422"/>
        <v>-1.4691733127356725</v>
      </c>
      <c r="N930" s="304">
        <f t="shared" ca="1" si="423"/>
        <v>-84.177430193007837</v>
      </c>
      <c r="P930" s="310">
        <f t="shared" ca="1" si="424"/>
        <v>23</v>
      </c>
      <c r="Q930" s="304">
        <f t="shared" ca="1" si="425"/>
        <v>0</v>
      </c>
      <c r="R930" s="306">
        <f t="shared" ca="1" si="426"/>
        <v>0</v>
      </c>
      <c r="S930" s="307">
        <f t="shared" ca="1" si="427"/>
        <v>8.0499999999999989</v>
      </c>
      <c r="T930" s="304">
        <f t="shared" ca="1" si="407"/>
        <v>78.970499999999987</v>
      </c>
      <c r="U930" s="311">
        <f t="shared" ca="1" si="408"/>
        <v>0</v>
      </c>
      <c r="V930" s="306">
        <f t="shared" ca="1" si="409"/>
        <v>1.2260100387785862</v>
      </c>
      <c r="W930" s="304">
        <f t="shared" ca="1" si="410"/>
        <v>58.360033515968816</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2.5097324041672175</v>
      </c>
      <c r="AH930" s="304">
        <f t="shared" ca="1" si="434"/>
        <v>-7.2496552771179354</v>
      </c>
    </row>
    <row r="931" spans="1:34" x14ac:dyDescent="0.3">
      <c r="A931" s="347">
        <f t="shared" ca="1" si="412"/>
        <v>1E-4</v>
      </c>
      <c r="B931" s="304">
        <f t="shared" ca="1" si="413"/>
        <v>33.940800000001566</v>
      </c>
      <c r="D931" s="306">
        <f t="shared" ca="1" si="414"/>
        <v>-0.73546829566166061</v>
      </c>
      <c r="E931" s="307">
        <f t="shared" ca="1" si="415"/>
        <v>-2.5977088422094807</v>
      </c>
      <c r="F931" s="304">
        <f t="shared" ca="1" si="416"/>
        <v>2.6998157053430125</v>
      </c>
      <c r="G931" s="306">
        <f t="shared" ca="1" si="417"/>
        <v>12.556290931613537</v>
      </c>
      <c r="H931" s="307">
        <f t="shared" ca="1" si="418"/>
        <v>-123.13290469393722</v>
      </c>
      <c r="I931" s="304">
        <f t="shared" ca="1" si="419"/>
        <v>123.77145333365665</v>
      </c>
      <c r="J931" s="306">
        <f t="shared" ca="1" si="420"/>
        <v>780.60585379989482</v>
      </c>
      <c r="K931" s="307">
        <f t="shared" ca="1" si="421"/>
        <v>-8.2541300191978095</v>
      </c>
      <c r="L931" s="304">
        <f t="shared" ca="1" si="406"/>
        <v>780.64949218521656</v>
      </c>
      <c r="M931" s="306">
        <f t="shared" ca="1" si="422"/>
        <v>-1.4691741168037504</v>
      </c>
      <c r="N931" s="304">
        <f t="shared" ca="1" si="423"/>
        <v>-84.177476262715146</v>
      </c>
      <c r="P931" s="310">
        <f t="shared" ca="1" si="424"/>
        <v>23</v>
      </c>
      <c r="Q931" s="304">
        <f t="shared" ca="1" si="425"/>
        <v>0</v>
      </c>
      <c r="R931" s="306">
        <f t="shared" ca="1" si="426"/>
        <v>0</v>
      </c>
      <c r="S931" s="307">
        <f t="shared" ca="1" si="427"/>
        <v>8.0499999999999989</v>
      </c>
      <c r="T931" s="304">
        <f t="shared" ca="1" si="407"/>
        <v>78.970499999999987</v>
      </c>
      <c r="U931" s="311">
        <f t="shared" ca="1" si="408"/>
        <v>0</v>
      </c>
      <c r="V931" s="306">
        <f t="shared" ca="1" si="409"/>
        <v>1.2260115483999527</v>
      </c>
      <c r="W931" s="304">
        <f t="shared" ca="1" si="410"/>
        <v>58.360342048902197</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2.5096948770420395</v>
      </c>
      <c r="AH931" s="304">
        <f t="shared" ca="1" si="434"/>
        <v>-7.2496936044681766</v>
      </c>
    </row>
    <row r="932" spans="1:34" x14ac:dyDescent="0.3">
      <c r="A932" s="347">
        <f t="shared" ca="1" si="412"/>
        <v>1E-4</v>
      </c>
      <c r="B932" s="304">
        <f t="shared" ca="1" si="413"/>
        <v>33.940900000001569</v>
      </c>
      <c r="D932" s="306">
        <f t="shared" ca="1" si="414"/>
        <v>-0.7354663846698134</v>
      </c>
      <c r="E932" s="307">
        <f t="shared" ca="1" si="415"/>
        <v>-2.5976701215057565</v>
      </c>
      <c r="F932" s="304">
        <f t="shared" ca="1" si="416"/>
        <v>2.6997779284865295</v>
      </c>
      <c r="G932" s="306">
        <f t="shared" ca="1" si="417"/>
        <v>12.556217384975071</v>
      </c>
      <c r="H932" s="307">
        <f t="shared" ca="1" si="418"/>
        <v>-123.13316446094937</v>
      </c>
      <c r="I932" s="304">
        <f t="shared" ca="1" si="419"/>
        <v>123.77170429943169</v>
      </c>
      <c r="J932" s="306">
        <f t="shared" ca="1" si="420"/>
        <v>780.60585379989482</v>
      </c>
      <c r="K932" s="307">
        <f t="shared" ca="1" si="421"/>
        <v>-8.2664433226555545</v>
      </c>
      <c r="L932" s="304">
        <f t="shared" ca="1" si="406"/>
        <v>780.64962247596679</v>
      </c>
      <c r="M932" s="306">
        <f t="shared" ca="1" si="422"/>
        <v>-1.469174920863858</v>
      </c>
      <c r="N932" s="304">
        <f t="shared" ca="1" si="423"/>
        <v>-84.177522331965775</v>
      </c>
      <c r="P932" s="310">
        <f t="shared" ca="1" si="424"/>
        <v>23</v>
      </c>
      <c r="Q932" s="304">
        <f t="shared" ca="1" si="425"/>
        <v>0</v>
      </c>
      <c r="R932" s="306">
        <f t="shared" ca="1" si="426"/>
        <v>0</v>
      </c>
      <c r="S932" s="307">
        <f t="shared" ca="1" si="427"/>
        <v>8.0499999999999989</v>
      </c>
      <c r="T932" s="304">
        <f t="shared" ca="1" si="407"/>
        <v>78.970499999999987</v>
      </c>
      <c r="U932" s="311">
        <f t="shared" ca="1" si="408"/>
        <v>0</v>
      </c>
      <c r="V932" s="306">
        <f t="shared" ca="1" si="409"/>
        <v>1.2260130580263633</v>
      </c>
      <c r="W932" s="304">
        <f t="shared" ca="1" si="410"/>
        <v>58.360650579599522</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2.5096573501803894</v>
      </c>
      <c r="AH932" s="304">
        <f t="shared" ca="1" si="434"/>
        <v>-7.249731931540647</v>
      </c>
    </row>
    <row r="933" spans="1:34" x14ac:dyDescent="0.3">
      <c r="A933" s="347">
        <f t="shared" ca="1" si="412"/>
        <v>1E-4</v>
      </c>
      <c r="B933" s="304">
        <f t="shared" ca="1" si="413"/>
        <v>33.941000000001573</v>
      </c>
      <c r="D933" s="306">
        <f t="shared" ca="1" si="414"/>
        <v>-0.73546447364547929</v>
      </c>
      <c r="E933" s="307">
        <f t="shared" ca="1" si="415"/>
        <v>-2.5976314010826442</v>
      </c>
      <c r="F933" s="304">
        <f t="shared" ca="1" si="416"/>
        <v>2.6997401519192925</v>
      </c>
      <c r="G933" s="306">
        <f t="shared" ca="1" si="417"/>
        <v>12.556143838527706</v>
      </c>
      <c r="H933" s="307">
        <f t="shared" ca="1" si="418"/>
        <v>-123.13342422408948</v>
      </c>
      <c r="I933" s="304">
        <f t="shared" ca="1" si="419"/>
        <v>123.77195526145405</v>
      </c>
      <c r="J933" s="306">
        <f t="shared" ca="1" si="420"/>
        <v>780.60585379989482</v>
      </c>
      <c r="K933" s="307">
        <f t="shared" ca="1" si="421"/>
        <v>-8.2787566520898057</v>
      </c>
      <c r="L933" s="304">
        <f t="shared" ca="1" si="406"/>
        <v>780.64975296119019</v>
      </c>
      <c r="M933" s="306">
        <f t="shared" ca="1" si="422"/>
        <v>-1.4691757249159951</v>
      </c>
      <c r="N933" s="304">
        <f t="shared" ca="1" si="423"/>
        <v>-84.177568400759739</v>
      </c>
      <c r="P933" s="310">
        <f t="shared" ca="1" si="424"/>
        <v>23</v>
      </c>
      <c r="Q933" s="304">
        <f t="shared" ca="1" si="425"/>
        <v>0</v>
      </c>
      <c r="R933" s="306">
        <f t="shared" ca="1" si="426"/>
        <v>0</v>
      </c>
      <c r="S933" s="307">
        <f t="shared" ca="1" si="427"/>
        <v>8.0499999999999989</v>
      </c>
      <c r="T933" s="304">
        <f t="shared" ca="1" si="407"/>
        <v>78.970499999999987</v>
      </c>
      <c r="U933" s="311">
        <f t="shared" ca="1" si="408"/>
        <v>0</v>
      </c>
      <c r="V933" s="306">
        <f t="shared" ca="1" si="409"/>
        <v>1.2260145676578182</v>
      </c>
      <c r="W933" s="304">
        <f t="shared" ca="1" si="410"/>
        <v>58.360959108060783</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2.5096198235822689</v>
      </c>
      <c r="AH933" s="304">
        <f t="shared" ca="1" si="434"/>
        <v>-7.2497702583353449</v>
      </c>
    </row>
    <row r="934" spans="1:34" x14ac:dyDescent="0.3">
      <c r="A934" s="347">
        <f t="shared" ca="1" si="412"/>
        <v>1E-4</v>
      </c>
      <c r="B934" s="304">
        <f t="shared" ca="1" si="413"/>
        <v>33.941100000001576</v>
      </c>
      <c r="D934" s="306">
        <f t="shared" ca="1" si="414"/>
        <v>-0.73546256258866149</v>
      </c>
      <c r="E934" s="307">
        <f t="shared" ca="1" si="415"/>
        <v>-2.5975926809401413</v>
      </c>
      <c r="F934" s="304">
        <f t="shared" ca="1" si="416"/>
        <v>2.6997023756412988</v>
      </c>
      <c r="G934" s="306">
        <f t="shared" ca="1" si="417"/>
        <v>12.556070292271448</v>
      </c>
      <c r="H934" s="307">
        <f t="shared" ca="1" si="418"/>
        <v>-123.13368398335757</v>
      </c>
      <c r="I934" s="304">
        <f t="shared" ca="1" si="419"/>
        <v>123.77220621972378</v>
      </c>
      <c r="J934" s="306">
        <f t="shared" ca="1" si="420"/>
        <v>780.60585379989482</v>
      </c>
      <c r="K934" s="307">
        <f t="shared" ca="1" si="421"/>
        <v>-8.2910700075001778</v>
      </c>
      <c r="L934" s="304">
        <f t="shared" ca="1" si="406"/>
        <v>780.64988364088799</v>
      </c>
      <c r="M934" s="306">
        <f t="shared" ca="1" si="422"/>
        <v>-1.4691765289601622</v>
      </c>
      <c r="N934" s="304">
        <f t="shared" ca="1" si="423"/>
        <v>-84.177614469097051</v>
      </c>
      <c r="P934" s="310">
        <f t="shared" ca="1" si="424"/>
        <v>23</v>
      </c>
      <c r="Q934" s="304">
        <f t="shared" ca="1" si="425"/>
        <v>0</v>
      </c>
      <c r="R934" s="306">
        <f t="shared" ca="1" si="426"/>
        <v>0</v>
      </c>
      <c r="S934" s="307">
        <f t="shared" ca="1" si="427"/>
        <v>8.0499999999999989</v>
      </c>
      <c r="T934" s="304">
        <f t="shared" ca="1" si="407"/>
        <v>78.970499999999987</v>
      </c>
      <c r="U934" s="311">
        <f t="shared" ca="1" si="408"/>
        <v>0</v>
      </c>
      <c r="V934" s="306">
        <f t="shared" ca="1" si="409"/>
        <v>1.2260160772943181</v>
      </c>
      <c r="W934" s="304">
        <f t="shared" ca="1" si="410"/>
        <v>58.36126763428598</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2.5095822972476798</v>
      </c>
      <c r="AH934" s="304">
        <f t="shared" ca="1" si="434"/>
        <v>-7.2498085848522722</v>
      </c>
    </row>
    <row r="935" spans="1:34" x14ac:dyDescent="0.3">
      <c r="A935" s="347">
        <f t="shared" ca="1" si="412"/>
        <v>1E-4</v>
      </c>
      <c r="B935" s="304">
        <f t="shared" ca="1" si="413"/>
        <v>33.941200000001579</v>
      </c>
      <c r="D935" s="306">
        <f t="shared" ca="1" si="414"/>
        <v>-0.73546065149935813</v>
      </c>
      <c r="E935" s="307">
        <f t="shared" ca="1" si="415"/>
        <v>-2.5975539610782503</v>
      </c>
      <c r="F935" s="304">
        <f t="shared" ca="1" si="416"/>
        <v>2.699664599652551</v>
      </c>
      <c r="G935" s="306">
        <f t="shared" ca="1" si="417"/>
        <v>12.555996746206299</v>
      </c>
      <c r="H935" s="307">
        <f t="shared" ca="1" si="418"/>
        <v>-123.13394373875367</v>
      </c>
      <c r="I935" s="304">
        <f t="shared" ca="1" si="419"/>
        <v>123.7724571742409</v>
      </c>
      <c r="J935" s="306">
        <f t="shared" ca="1" si="420"/>
        <v>780.60585379989482</v>
      </c>
      <c r="K935" s="307">
        <f t="shared" ca="1" si="421"/>
        <v>-8.3033833888862834</v>
      </c>
      <c r="L935" s="304">
        <f t="shared" ca="1" si="406"/>
        <v>780.65001451506134</v>
      </c>
      <c r="M935" s="306">
        <f t="shared" ca="1" si="422"/>
        <v>-1.4691773329963589</v>
      </c>
      <c r="N935" s="304">
        <f t="shared" ca="1" si="423"/>
        <v>-84.177660536977712</v>
      </c>
      <c r="P935" s="310">
        <f t="shared" ca="1" si="424"/>
        <v>23</v>
      </c>
      <c r="Q935" s="304">
        <f t="shared" ca="1" si="425"/>
        <v>0</v>
      </c>
      <c r="R935" s="306">
        <f t="shared" ca="1" si="426"/>
        <v>0</v>
      </c>
      <c r="S935" s="307">
        <f t="shared" ca="1" si="427"/>
        <v>8.0499999999999989</v>
      </c>
      <c r="T935" s="304">
        <f t="shared" ca="1" si="407"/>
        <v>78.970499999999987</v>
      </c>
      <c r="U935" s="311">
        <f t="shared" ca="1" si="408"/>
        <v>0</v>
      </c>
      <c r="V935" s="306">
        <f t="shared" ca="1" si="409"/>
        <v>1.2260175869358618</v>
      </c>
      <c r="W935" s="304">
        <f t="shared" ca="1" si="410"/>
        <v>58.361576158275078</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2.5095447711766203</v>
      </c>
      <c r="AH935" s="304">
        <f t="shared" ca="1" si="434"/>
        <v>-7.249846911091427</v>
      </c>
    </row>
    <row r="936" spans="1:34" x14ac:dyDescent="0.3">
      <c r="A936" s="347">
        <f t="shared" ca="1" si="412"/>
        <v>1E-4</v>
      </c>
      <c r="B936" s="304">
        <f t="shared" ca="1" si="413"/>
        <v>33.941300000001583</v>
      </c>
      <c r="D936" s="306">
        <f t="shared" ca="1" si="414"/>
        <v>-0.73545874037757208</v>
      </c>
      <c r="E936" s="307">
        <f t="shared" ca="1" si="415"/>
        <v>-2.5975152414969749</v>
      </c>
      <c r="F936" s="304">
        <f t="shared" ca="1" si="416"/>
        <v>2.6996268239530541</v>
      </c>
      <c r="G936" s="306">
        <f t="shared" ca="1" si="417"/>
        <v>12.555923200332261</v>
      </c>
      <c r="H936" s="307">
        <f t="shared" ca="1" si="418"/>
        <v>-123.13420349027783</v>
      </c>
      <c r="I936" s="304">
        <f t="shared" ca="1" si="419"/>
        <v>123.77270812500545</v>
      </c>
      <c r="J936" s="306">
        <f t="shared" ca="1" si="420"/>
        <v>780.60585379989482</v>
      </c>
      <c r="K936" s="307">
        <f t="shared" ca="1" si="421"/>
        <v>-8.3156967962477353</v>
      </c>
      <c r="L936" s="304">
        <f t="shared" ca="1" si="406"/>
        <v>780.65014558371149</v>
      </c>
      <c r="M936" s="306">
        <f t="shared" ca="1" si="422"/>
        <v>-1.469178137024586</v>
      </c>
      <c r="N936" s="304">
        <f t="shared" ca="1" si="423"/>
        <v>-84.177706604401735</v>
      </c>
      <c r="P936" s="310">
        <f t="shared" ca="1" si="424"/>
        <v>23</v>
      </c>
      <c r="Q936" s="304">
        <f t="shared" ca="1" si="425"/>
        <v>0</v>
      </c>
      <c r="R936" s="306">
        <f t="shared" ca="1" si="426"/>
        <v>0</v>
      </c>
      <c r="S936" s="307">
        <f t="shared" ca="1" si="427"/>
        <v>8.0499999999999989</v>
      </c>
      <c r="T936" s="304">
        <f t="shared" ca="1" si="407"/>
        <v>78.970499999999987</v>
      </c>
      <c r="U936" s="311">
        <f t="shared" ca="1" si="408"/>
        <v>0</v>
      </c>
      <c r="V936" s="306">
        <f t="shared" ca="1" si="409"/>
        <v>1.22601909658245</v>
      </c>
      <c r="W936" s="304">
        <f t="shared" ca="1" si="410"/>
        <v>58.361884680028119</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2.5095072453690976</v>
      </c>
      <c r="AH936" s="304">
        <f t="shared" ca="1" si="434"/>
        <v>-7.2498852370528057</v>
      </c>
    </row>
    <row r="937" spans="1:34" x14ac:dyDescent="0.3">
      <c r="A937" s="347">
        <f t="shared" ca="1" si="412"/>
        <v>1E-4</v>
      </c>
      <c r="B937" s="304">
        <f t="shared" ca="1" si="413"/>
        <v>33.941400000001586</v>
      </c>
      <c r="D937" s="306">
        <f t="shared" ca="1" si="414"/>
        <v>-0.73545682922330069</v>
      </c>
      <c r="E937" s="307">
        <f t="shared" ca="1" si="415"/>
        <v>-2.5974765221963096</v>
      </c>
      <c r="F937" s="304">
        <f t="shared" ca="1" si="416"/>
        <v>2.6995890485428014</v>
      </c>
      <c r="G937" s="306">
        <f t="shared" ca="1" si="417"/>
        <v>12.555849654649339</v>
      </c>
      <c r="H937" s="307">
        <f t="shared" ca="1" si="418"/>
        <v>-123.13446323793005</v>
      </c>
      <c r="I937" s="304">
        <f t="shared" ca="1" si="419"/>
        <v>123.77295907201744</v>
      </c>
      <c r="J937" s="306">
        <f t="shared" ca="1" si="420"/>
        <v>780.60585379989482</v>
      </c>
      <c r="K937" s="307">
        <f t="shared" ca="1" si="421"/>
        <v>-8.3280102295841463</v>
      </c>
      <c r="L937" s="304">
        <f t="shared" ca="1" si="406"/>
        <v>780.65027684683923</v>
      </c>
      <c r="M937" s="306">
        <f t="shared" ca="1" si="422"/>
        <v>-1.469178941044843</v>
      </c>
      <c r="N937" s="304">
        <f t="shared" ca="1" si="423"/>
        <v>-84.177752671369106</v>
      </c>
      <c r="P937" s="310">
        <f t="shared" ca="1" si="424"/>
        <v>23</v>
      </c>
      <c r="Q937" s="304">
        <f t="shared" ca="1" si="425"/>
        <v>0</v>
      </c>
      <c r="R937" s="306">
        <f t="shared" ca="1" si="426"/>
        <v>0</v>
      </c>
      <c r="S937" s="307">
        <f t="shared" ca="1" si="427"/>
        <v>8.0499999999999989</v>
      </c>
      <c r="T937" s="304">
        <f t="shared" ca="1" si="407"/>
        <v>78.970499999999987</v>
      </c>
      <c r="U937" s="311">
        <f t="shared" ca="1" si="408"/>
        <v>0</v>
      </c>
      <c r="V937" s="306">
        <f t="shared" ca="1" si="409"/>
        <v>1.2260206062340819</v>
      </c>
      <c r="W937" s="304">
        <f t="shared" ca="1" si="410"/>
        <v>58.36219319954504</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2.5094697198251055</v>
      </c>
      <c r="AH937" s="304">
        <f t="shared" ca="1" si="434"/>
        <v>-7.2499235627364129</v>
      </c>
    </row>
    <row r="938" spans="1:34" x14ac:dyDescent="0.3">
      <c r="A938" s="347">
        <f t="shared" ca="1" si="412"/>
        <v>1E-4</v>
      </c>
      <c r="B938" s="304">
        <f t="shared" ca="1" si="413"/>
        <v>33.941500000001589</v>
      </c>
      <c r="D938" s="306">
        <f t="shared" ca="1" si="414"/>
        <v>-0.73545491803654806</v>
      </c>
      <c r="E938" s="307">
        <f t="shared" ca="1" si="415"/>
        <v>-2.5974378031762617</v>
      </c>
      <c r="F938" s="304">
        <f t="shared" ca="1" si="416"/>
        <v>2.6995512734218017</v>
      </c>
      <c r="G938" s="306">
        <f t="shared" ca="1" si="417"/>
        <v>12.555776109157536</v>
      </c>
      <c r="H938" s="307">
        <f t="shared" ca="1" si="418"/>
        <v>-123.13472298171037</v>
      </c>
      <c r="I938" s="304">
        <f t="shared" ca="1" si="419"/>
        <v>123.7732100152769</v>
      </c>
      <c r="J938" s="306">
        <f t="shared" ca="1" si="420"/>
        <v>780.60585379989482</v>
      </c>
      <c r="K938" s="307">
        <f t="shared" ca="1" si="421"/>
        <v>-8.3403236888951291</v>
      </c>
      <c r="L938" s="304">
        <f t="shared" ca="1" si="406"/>
        <v>780.65040830444593</v>
      </c>
      <c r="M938" s="306">
        <f t="shared" ca="1" si="422"/>
        <v>-1.4691797450571302</v>
      </c>
      <c r="N938" s="304">
        <f t="shared" ca="1" si="423"/>
        <v>-84.177798737879826</v>
      </c>
      <c r="P938" s="310">
        <f t="shared" ca="1" si="424"/>
        <v>23</v>
      </c>
      <c r="Q938" s="304">
        <f t="shared" ca="1" si="425"/>
        <v>0</v>
      </c>
      <c r="R938" s="306">
        <f t="shared" ca="1" si="426"/>
        <v>0</v>
      </c>
      <c r="S938" s="307">
        <f t="shared" ca="1" si="427"/>
        <v>8.0499999999999989</v>
      </c>
      <c r="T938" s="304">
        <f t="shared" ca="1" si="407"/>
        <v>78.970499999999987</v>
      </c>
      <c r="U938" s="311">
        <f t="shared" ca="1" si="408"/>
        <v>0</v>
      </c>
      <c r="V938" s="306">
        <f t="shared" ca="1" si="409"/>
        <v>1.2260221158907585</v>
      </c>
      <c r="W938" s="304">
        <f t="shared" ca="1" si="410"/>
        <v>58.362501716825882</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2.5094321945446483</v>
      </c>
      <c r="AH938" s="304">
        <f t="shared" ca="1" si="434"/>
        <v>-7.2499618881422423</v>
      </c>
    </row>
    <row r="939" spans="1:34" x14ac:dyDescent="0.3">
      <c r="A939" s="347">
        <f t="shared" ca="1" si="412"/>
        <v>1E-4</v>
      </c>
      <c r="B939" s="304">
        <f t="shared" ca="1" si="413"/>
        <v>33.941600000001593</v>
      </c>
      <c r="D939" s="306">
        <f t="shared" ca="1" si="414"/>
        <v>-0.7354530068173144</v>
      </c>
      <c r="E939" s="307">
        <f t="shared" ca="1" si="415"/>
        <v>-2.5973990844368275</v>
      </c>
      <c r="F939" s="304">
        <f t="shared" ca="1" si="416"/>
        <v>2.6995134985900511</v>
      </c>
      <c r="G939" s="306">
        <f t="shared" ca="1" si="417"/>
        <v>12.555702563856855</v>
      </c>
      <c r="H939" s="307">
        <f t="shared" ca="1" si="418"/>
        <v>-123.13498272161881</v>
      </c>
      <c r="I939" s="304">
        <f t="shared" ca="1" si="419"/>
        <v>123.77346095478386</v>
      </c>
      <c r="J939" s="306">
        <f t="shared" ca="1" si="420"/>
        <v>780.60585379989482</v>
      </c>
      <c r="K939" s="307">
        <f t="shared" ca="1" si="421"/>
        <v>-8.3526371741802947</v>
      </c>
      <c r="L939" s="304">
        <f t="shared" ca="1" si="406"/>
        <v>780.65053995653284</v>
      </c>
      <c r="M939" s="306">
        <f t="shared" ca="1" si="422"/>
        <v>-1.469180549061448</v>
      </c>
      <c r="N939" s="304">
        <f t="shared" ca="1" si="423"/>
        <v>-84.177844803933951</v>
      </c>
      <c r="P939" s="310">
        <f t="shared" ca="1" si="424"/>
        <v>23</v>
      </c>
      <c r="Q939" s="304">
        <f t="shared" ca="1" si="425"/>
        <v>0</v>
      </c>
      <c r="R939" s="306">
        <f t="shared" ca="1" si="426"/>
        <v>0</v>
      </c>
      <c r="S939" s="307">
        <f t="shared" ca="1" si="427"/>
        <v>8.0499999999999989</v>
      </c>
      <c r="T939" s="304">
        <f t="shared" ca="1" si="407"/>
        <v>78.970499999999987</v>
      </c>
      <c r="U939" s="311">
        <f t="shared" ca="1" si="408"/>
        <v>0</v>
      </c>
      <c r="V939" s="306">
        <f t="shared" ca="1" si="409"/>
        <v>1.226023625552479</v>
      </c>
      <c r="W939" s="304">
        <f t="shared" ca="1" si="410"/>
        <v>58.362810231870604</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2.5093946695277287</v>
      </c>
      <c r="AH939" s="304">
        <f t="shared" ca="1" si="434"/>
        <v>-7.2500002132702965</v>
      </c>
    </row>
    <row r="940" spans="1:34" x14ac:dyDescent="0.3">
      <c r="A940" s="347">
        <f t="shared" ca="1" si="412"/>
        <v>1E-4</v>
      </c>
      <c r="B940" s="304">
        <f t="shared" ca="1" si="413"/>
        <v>33.941700000001596</v>
      </c>
      <c r="D940" s="306">
        <f t="shared" ca="1" si="414"/>
        <v>-0.73545109556559773</v>
      </c>
      <c r="E940" s="307">
        <f t="shared" ca="1" si="415"/>
        <v>-2.5973603659780107</v>
      </c>
      <c r="F940" s="304">
        <f t="shared" ca="1" si="416"/>
        <v>2.6994757240475535</v>
      </c>
      <c r="G940" s="306">
        <f t="shared" ca="1" si="417"/>
        <v>12.555629018747299</v>
      </c>
      <c r="H940" s="307">
        <f t="shared" ca="1" si="418"/>
        <v>-123.13524245765541</v>
      </c>
      <c r="I940" s="304">
        <f t="shared" ca="1" si="419"/>
        <v>123.77371189053835</v>
      </c>
      <c r="J940" s="306">
        <f t="shared" ca="1" si="420"/>
        <v>780.60585379989482</v>
      </c>
      <c r="K940" s="307">
        <f t="shared" ca="1" si="421"/>
        <v>-8.3649506854392577</v>
      </c>
      <c r="L940" s="304">
        <f t="shared" ca="1" si="406"/>
        <v>780.65067180310075</v>
      </c>
      <c r="M940" s="306">
        <f t="shared" ca="1" si="422"/>
        <v>-1.4691813530577964</v>
      </c>
      <c r="N940" s="304">
        <f t="shared" ca="1" si="423"/>
        <v>-84.177890869531453</v>
      </c>
      <c r="P940" s="310">
        <f t="shared" ca="1" si="424"/>
        <v>23</v>
      </c>
      <c r="Q940" s="304">
        <f t="shared" ca="1" si="425"/>
        <v>0</v>
      </c>
      <c r="R940" s="306">
        <f t="shared" ca="1" si="426"/>
        <v>0</v>
      </c>
      <c r="S940" s="307">
        <f t="shared" ca="1" si="427"/>
        <v>8.0499999999999989</v>
      </c>
      <c r="T940" s="304">
        <f t="shared" ca="1" si="407"/>
        <v>78.970499999999987</v>
      </c>
      <c r="U940" s="311">
        <f t="shared" ca="1" si="408"/>
        <v>0</v>
      </c>
      <c r="V940" s="306">
        <f t="shared" ca="1" si="409"/>
        <v>1.2260251352192442</v>
      </c>
      <c r="W940" s="304">
        <f t="shared" ca="1" si="410"/>
        <v>58.363118744679255</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2.5093571447743459</v>
      </c>
      <c r="AH940" s="304">
        <f t="shared" ca="1" si="434"/>
        <v>-7.250038538120573</v>
      </c>
    </row>
    <row r="941" spans="1:34" x14ac:dyDescent="0.3">
      <c r="A941" s="347">
        <f t="shared" ca="1" si="412"/>
        <v>1E-4</v>
      </c>
      <c r="B941" s="304">
        <f t="shared" ca="1" si="413"/>
        <v>33.941800000001599</v>
      </c>
      <c r="D941" s="306">
        <f t="shared" ca="1" si="414"/>
        <v>-0.73544918428140038</v>
      </c>
      <c r="E941" s="307">
        <f t="shared" ca="1" si="415"/>
        <v>-2.5973216477998076</v>
      </c>
      <c r="F941" s="304">
        <f t="shared" ca="1" si="416"/>
        <v>2.699437949794306</v>
      </c>
      <c r="G941" s="306">
        <f t="shared" ca="1" si="417"/>
        <v>12.555555473828871</v>
      </c>
      <c r="H941" s="307">
        <f t="shared" ca="1" si="418"/>
        <v>-123.13550218982019</v>
      </c>
      <c r="I941" s="304">
        <f t="shared" ca="1" si="419"/>
        <v>123.77396282254037</v>
      </c>
      <c r="J941" s="306">
        <f t="shared" ca="1" si="420"/>
        <v>780.60585379989482</v>
      </c>
      <c r="K941" s="307">
        <f t="shared" ca="1" si="421"/>
        <v>-8.3772642226716307</v>
      </c>
      <c r="L941" s="304">
        <f t="shared" ca="1" si="406"/>
        <v>780.65080384415103</v>
      </c>
      <c r="M941" s="306">
        <f t="shared" ca="1" si="422"/>
        <v>-1.4691821570461752</v>
      </c>
      <c r="N941" s="304">
        <f t="shared" ca="1" si="423"/>
        <v>-84.177936934672346</v>
      </c>
      <c r="P941" s="310">
        <f t="shared" ca="1" si="424"/>
        <v>23</v>
      </c>
      <c r="Q941" s="304">
        <f t="shared" ca="1" si="425"/>
        <v>0</v>
      </c>
      <c r="R941" s="306">
        <f t="shared" ca="1" si="426"/>
        <v>0</v>
      </c>
      <c r="S941" s="307">
        <f t="shared" ca="1" si="427"/>
        <v>8.0499999999999989</v>
      </c>
      <c r="T941" s="304">
        <f t="shared" ca="1" si="407"/>
        <v>78.970499999999987</v>
      </c>
      <c r="U941" s="311">
        <f t="shared" ca="1" si="408"/>
        <v>0</v>
      </c>
      <c r="V941" s="306">
        <f t="shared" ca="1" si="409"/>
        <v>1.2260266448910533</v>
      </c>
      <c r="W941" s="304">
        <f t="shared" ca="1" si="410"/>
        <v>58.363427255251757</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2.509319620284499</v>
      </c>
      <c r="AH941" s="304">
        <f t="shared" ca="1" si="434"/>
        <v>-7.2500768626930761</v>
      </c>
    </row>
    <row r="942" spans="1:34" x14ac:dyDescent="0.3">
      <c r="A942" s="347">
        <f t="shared" ca="1" si="412"/>
        <v>1E-4</v>
      </c>
      <c r="B942" s="304">
        <f t="shared" ca="1" si="413"/>
        <v>33.941900000001603</v>
      </c>
      <c r="D942" s="306">
        <f t="shared" ca="1" si="414"/>
        <v>-0.73544727296472445</v>
      </c>
      <c r="E942" s="307">
        <f t="shared" ca="1" si="415"/>
        <v>-2.5972829299022244</v>
      </c>
      <c r="F942" s="304">
        <f t="shared" ca="1" si="416"/>
        <v>2.6994001758303146</v>
      </c>
      <c r="G942" s="306">
        <f t="shared" ca="1" si="417"/>
        <v>12.555481929101575</v>
      </c>
      <c r="H942" s="307">
        <f t="shared" ca="1" si="418"/>
        <v>-123.13576191811318</v>
      </c>
      <c r="I942" s="304">
        <f t="shared" ca="1" si="419"/>
        <v>123.77421375078998</v>
      </c>
      <c r="J942" s="306">
        <f t="shared" ca="1" si="420"/>
        <v>780.60585379989482</v>
      </c>
      <c r="K942" s="307">
        <f t="shared" ca="1" si="421"/>
        <v>-8.3895777858770266</v>
      </c>
      <c r="L942" s="304">
        <f t="shared" ca="1" si="406"/>
        <v>780.6509360796847</v>
      </c>
      <c r="M942" s="306">
        <f t="shared" ca="1" si="422"/>
        <v>-1.4691829610265847</v>
      </c>
      <c r="N942" s="304">
        <f t="shared" ca="1" si="423"/>
        <v>-84.177982999356615</v>
      </c>
      <c r="P942" s="310">
        <f t="shared" ca="1" si="424"/>
        <v>23</v>
      </c>
      <c r="Q942" s="304">
        <f t="shared" ca="1" si="425"/>
        <v>0</v>
      </c>
      <c r="R942" s="306">
        <f t="shared" ca="1" si="426"/>
        <v>0</v>
      </c>
      <c r="S942" s="307">
        <f t="shared" ca="1" si="427"/>
        <v>8.0499999999999989</v>
      </c>
      <c r="T942" s="304">
        <f t="shared" ca="1" si="407"/>
        <v>78.970499999999987</v>
      </c>
      <c r="U942" s="311">
        <f t="shared" ca="1" si="408"/>
        <v>0</v>
      </c>
      <c r="V942" s="306">
        <f t="shared" ca="1" si="409"/>
        <v>1.2260281545679064</v>
      </c>
      <c r="W942" s="304">
        <f t="shared" ca="1" si="410"/>
        <v>58.363735763588153</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2.5092820960581932</v>
      </c>
      <c r="AH942" s="304">
        <f t="shared" ca="1" si="434"/>
        <v>-7.2501151869877969</v>
      </c>
    </row>
    <row r="943" spans="1:34" x14ac:dyDescent="0.3">
      <c r="A943" s="347">
        <f t="shared" ca="1" si="412"/>
        <v>1E-4</v>
      </c>
      <c r="B943" s="304">
        <f t="shared" ca="1" si="413"/>
        <v>33.942000000001606</v>
      </c>
      <c r="D943" s="306">
        <f t="shared" ca="1" si="414"/>
        <v>-0.73544536161556873</v>
      </c>
      <c r="E943" s="307">
        <f t="shared" ca="1" si="415"/>
        <v>-2.5972442122852577</v>
      </c>
      <c r="F943" s="304">
        <f t="shared" ca="1" si="416"/>
        <v>2.6993624021555762</v>
      </c>
      <c r="G943" s="306">
        <f t="shared" ca="1" si="417"/>
        <v>12.555408384565412</v>
      </c>
      <c r="H943" s="307">
        <f t="shared" ca="1" si="418"/>
        <v>-123.1360216425344</v>
      </c>
      <c r="I943" s="304">
        <f t="shared" ca="1" si="419"/>
        <v>123.77446467528719</v>
      </c>
      <c r="J943" s="306">
        <f t="shared" ca="1" si="420"/>
        <v>780.60585379989482</v>
      </c>
      <c r="K943" s="307">
        <f t="shared" ca="1" si="421"/>
        <v>-8.4018913750550581</v>
      </c>
      <c r="L943" s="304">
        <f t="shared" ca="1" si="406"/>
        <v>780.65106850970301</v>
      </c>
      <c r="M943" s="306">
        <f t="shared" ca="1" si="422"/>
        <v>-1.4691837649990254</v>
      </c>
      <c r="N943" s="304">
        <f t="shared" ca="1" si="423"/>
        <v>-84.178029063584304</v>
      </c>
      <c r="P943" s="310">
        <f t="shared" ca="1" si="424"/>
        <v>23</v>
      </c>
      <c r="Q943" s="304">
        <f t="shared" ca="1" si="425"/>
        <v>0</v>
      </c>
      <c r="R943" s="306">
        <f t="shared" ca="1" si="426"/>
        <v>0</v>
      </c>
      <c r="S943" s="307">
        <f t="shared" ca="1" si="427"/>
        <v>8.0499999999999989</v>
      </c>
      <c r="T943" s="304">
        <f t="shared" ca="1" si="407"/>
        <v>78.970499999999987</v>
      </c>
      <c r="U943" s="311">
        <f t="shared" ca="1" si="408"/>
        <v>0</v>
      </c>
      <c r="V943" s="306">
        <f t="shared" ca="1" si="409"/>
        <v>1.2260296642498032</v>
      </c>
      <c r="W943" s="304">
        <f t="shared" ca="1" si="410"/>
        <v>58.364044269688392</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2.5092445720954286</v>
      </c>
      <c r="AH943" s="304">
        <f t="shared" ca="1" si="434"/>
        <v>-7.2501535110047408</v>
      </c>
    </row>
    <row r="944" spans="1:34" x14ac:dyDescent="0.3">
      <c r="A944" s="347">
        <f t="shared" ca="1" si="412"/>
        <v>1E-4</v>
      </c>
      <c r="B944" s="304">
        <f t="shared" ca="1" si="413"/>
        <v>33.942100000001609</v>
      </c>
      <c r="D944" s="306">
        <f t="shared" ca="1" si="414"/>
        <v>-0.73544345023393276</v>
      </c>
      <c r="E944" s="307">
        <f t="shared" ca="1" si="415"/>
        <v>-2.5972054949489145</v>
      </c>
      <c r="F944" s="304">
        <f t="shared" ca="1" si="416"/>
        <v>2.699324628770098</v>
      </c>
      <c r="G944" s="306">
        <f t="shared" ca="1" si="417"/>
        <v>12.555334840220389</v>
      </c>
      <c r="H944" s="307">
        <f t="shared" ca="1" si="418"/>
        <v>-123.1362813630839</v>
      </c>
      <c r="I944" s="304">
        <f t="shared" ca="1" si="419"/>
        <v>123.77471559603202</v>
      </c>
      <c r="J944" s="306">
        <f t="shared" ca="1" si="420"/>
        <v>780.60585379989482</v>
      </c>
      <c r="K944" s="307">
        <f t="shared" ca="1" si="421"/>
        <v>-8.4142049902053397</v>
      </c>
      <c r="L944" s="304">
        <f t="shared" ca="1" si="406"/>
        <v>780.65120113420687</v>
      </c>
      <c r="M944" s="306">
        <f t="shared" ca="1" si="422"/>
        <v>-1.4691845689634968</v>
      </c>
      <c r="N944" s="304">
        <f t="shared" ca="1" si="423"/>
        <v>-84.178075127355399</v>
      </c>
      <c r="P944" s="310">
        <f t="shared" ca="1" si="424"/>
        <v>23</v>
      </c>
      <c r="Q944" s="304">
        <f t="shared" ca="1" si="425"/>
        <v>0</v>
      </c>
      <c r="R944" s="306">
        <f t="shared" ca="1" si="426"/>
        <v>0</v>
      </c>
      <c r="S944" s="307">
        <f t="shared" ca="1" si="427"/>
        <v>8.0499999999999989</v>
      </c>
      <c r="T944" s="304">
        <f t="shared" ca="1" si="407"/>
        <v>78.970499999999987</v>
      </c>
      <c r="U944" s="311">
        <f t="shared" ca="1" si="408"/>
        <v>0</v>
      </c>
      <c r="V944" s="306">
        <f t="shared" ca="1" si="409"/>
        <v>1.2260311739367442</v>
      </c>
      <c r="W944" s="304">
        <f t="shared" ca="1" si="410"/>
        <v>58.36435277355249</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2.5092070483962052</v>
      </c>
      <c r="AH944" s="304">
        <f t="shared" ca="1" si="434"/>
        <v>-7.2501918347439007</v>
      </c>
    </row>
    <row r="945" spans="1:34" x14ac:dyDescent="0.3">
      <c r="A945" s="347">
        <f t="shared" ca="1" si="412"/>
        <v>1E-4</v>
      </c>
      <c r="B945" s="304">
        <f t="shared" ca="1" si="413"/>
        <v>33.942200000001613</v>
      </c>
      <c r="D945" s="306">
        <f t="shared" ca="1" si="414"/>
        <v>-0.73544153881981988</v>
      </c>
      <c r="E945" s="307">
        <f t="shared" ca="1" si="415"/>
        <v>-2.5971667778931913</v>
      </c>
      <c r="F945" s="304">
        <f t="shared" ca="1" si="416"/>
        <v>2.6992868556738769</v>
      </c>
      <c r="G945" s="306">
        <f t="shared" ca="1" si="417"/>
        <v>12.555261296066508</v>
      </c>
      <c r="H945" s="307">
        <f t="shared" ca="1" si="418"/>
        <v>-123.13654107976168</v>
      </c>
      <c r="I945" s="304">
        <f t="shared" ca="1" si="419"/>
        <v>123.77496651302452</v>
      </c>
      <c r="J945" s="306">
        <f t="shared" ca="1" si="420"/>
        <v>780.60585379989482</v>
      </c>
      <c r="K945" s="307">
        <f t="shared" ca="1" si="421"/>
        <v>-8.4265186313274825</v>
      </c>
      <c r="L945" s="304">
        <f t="shared" ca="1" si="406"/>
        <v>780.65133395319754</v>
      </c>
      <c r="M945" s="306">
        <f t="shared" ca="1" si="422"/>
        <v>-1.4691853729199995</v>
      </c>
      <c r="N945" s="304">
        <f t="shared" ca="1" si="423"/>
        <v>-84.178121190669927</v>
      </c>
      <c r="P945" s="310">
        <f t="shared" ca="1" si="424"/>
        <v>23</v>
      </c>
      <c r="Q945" s="304">
        <f t="shared" ca="1" si="425"/>
        <v>0</v>
      </c>
      <c r="R945" s="306">
        <f t="shared" ca="1" si="426"/>
        <v>0</v>
      </c>
      <c r="S945" s="307">
        <f t="shared" ca="1" si="427"/>
        <v>8.0499999999999989</v>
      </c>
      <c r="T945" s="304">
        <f t="shared" ca="1" si="407"/>
        <v>78.970499999999987</v>
      </c>
      <c r="U945" s="311">
        <f t="shared" ca="1" si="408"/>
        <v>0</v>
      </c>
      <c r="V945" s="306">
        <f t="shared" ca="1" si="409"/>
        <v>1.2260326836287296</v>
      </c>
      <c r="W945" s="304">
        <f t="shared" ca="1" si="410"/>
        <v>58.364661275180488</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2.5091695249605293</v>
      </c>
      <c r="AH945" s="304">
        <f t="shared" ca="1" si="434"/>
        <v>-7.2502301582052793</v>
      </c>
    </row>
    <row r="946" spans="1:34" x14ac:dyDescent="0.3">
      <c r="A946" s="347">
        <f t="shared" ca="1" si="412"/>
        <v>1E-4</v>
      </c>
      <c r="B946" s="304">
        <f t="shared" ca="1" si="413"/>
        <v>33.942300000001616</v>
      </c>
      <c r="D946" s="306">
        <f t="shared" ca="1" si="414"/>
        <v>-0.7354396273732291</v>
      </c>
      <c r="E946" s="307">
        <f t="shared" ca="1" si="415"/>
        <v>-2.5971280611180845</v>
      </c>
      <c r="F946" s="304">
        <f t="shared" ca="1" si="416"/>
        <v>2.6992490828669102</v>
      </c>
      <c r="G946" s="306">
        <f t="shared" ca="1" si="417"/>
        <v>12.555187752103771</v>
      </c>
      <c r="H946" s="307">
        <f t="shared" ca="1" si="418"/>
        <v>-123.1368007925678</v>
      </c>
      <c r="I946" s="304">
        <f t="shared" ca="1" si="419"/>
        <v>123.7752174262647</v>
      </c>
      <c r="J946" s="306">
        <f t="shared" ca="1" si="420"/>
        <v>780.60585379989482</v>
      </c>
      <c r="K946" s="307">
        <f t="shared" ca="1" si="421"/>
        <v>-8.4388322984210991</v>
      </c>
      <c r="L946" s="304">
        <f t="shared" ca="1" si="406"/>
        <v>780.65146696667625</v>
      </c>
      <c r="M946" s="306">
        <f t="shared" ca="1" si="422"/>
        <v>-1.4691861768685333</v>
      </c>
      <c r="N946" s="304">
        <f t="shared" ca="1" si="423"/>
        <v>-84.178167253527846</v>
      </c>
      <c r="P946" s="310">
        <f t="shared" ca="1" si="424"/>
        <v>23</v>
      </c>
      <c r="Q946" s="304">
        <f t="shared" ca="1" si="425"/>
        <v>0</v>
      </c>
      <c r="R946" s="306">
        <f t="shared" ca="1" si="426"/>
        <v>0</v>
      </c>
      <c r="S946" s="307">
        <f t="shared" ca="1" si="427"/>
        <v>8.0499999999999989</v>
      </c>
      <c r="T946" s="304">
        <f t="shared" ca="1" si="407"/>
        <v>78.970499999999987</v>
      </c>
      <c r="U946" s="311">
        <f t="shared" ca="1" si="408"/>
        <v>0</v>
      </c>
      <c r="V946" s="306">
        <f t="shared" ca="1" si="409"/>
        <v>1.2260341933257586</v>
      </c>
      <c r="W946" s="304">
        <f t="shared" ca="1" si="410"/>
        <v>58.364969774572309</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2.50913200178839</v>
      </c>
      <c r="AH946" s="304">
        <f t="shared" ca="1" si="434"/>
        <v>-7.2502684813888818</v>
      </c>
    </row>
    <row r="947" spans="1:34" x14ac:dyDescent="0.3">
      <c r="A947" s="347">
        <f t="shared" ca="1" si="412"/>
        <v>1E-4</v>
      </c>
      <c r="B947" s="304">
        <f t="shared" ca="1" si="413"/>
        <v>33.942400000001619</v>
      </c>
      <c r="D947" s="306">
        <f t="shared" ca="1" si="414"/>
        <v>-0.73543771589416229</v>
      </c>
      <c r="E947" s="307">
        <f t="shared" ca="1" si="415"/>
        <v>-2.597089344623603</v>
      </c>
      <c r="F947" s="304">
        <f t="shared" ca="1" si="416"/>
        <v>2.6992113103492059</v>
      </c>
      <c r="G947" s="306">
        <f t="shared" ca="1" si="417"/>
        <v>12.555114208332181</v>
      </c>
      <c r="H947" s="307">
        <f t="shared" ca="1" si="418"/>
        <v>-123.13706050150226</v>
      </c>
      <c r="I947" s="304">
        <f t="shared" ca="1" si="419"/>
        <v>123.77546833575259</v>
      </c>
      <c r="J947" s="306">
        <f t="shared" ca="1" si="420"/>
        <v>780.60585379989482</v>
      </c>
      <c r="K947" s="307">
        <f t="shared" ca="1" si="421"/>
        <v>-8.4511459914858023</v>
      </c>
      <c r="L947" s="304">
        <f t="shared" ca="1" si="406"/>
        <v>780.65160017464393</v>
      </c>
      <c r="M947" s="306">
        <f t="shared" ca="1" si="422"/>
        <v>-1.4691869808090985</v>
      </c>
      <c r="N947" s="304">
        <f t="shared" ca="1" si="423"/>
        <v>-84.178213315929213</v>
      </c>
      <c r="P947" s="310">
        <f t="shared" ca="1" si="424"/>
        <v>23</v>
      </c>
      <c r="Q947" s="304">
        <f t="shared" ca="1" si="425"/>
        <v>0</v>
      </c>
      <c r="R947" s="306">
        <f t="shared" ca="1" si="426"/>
        <v>0</v>
      </c>
      <c r="S947" s="307">
        <f t="shared" ca="1" si="427"/>
        <v>8.0499999999999989</v>
      </c>
      <c r="T947" s="304">
        <f t="shared" ca="1" si="407"/>
        <v>78.970499999999987</v>
      </c>
      <c r="U947" s="311">
        <f t="shared" ca="1" si="408"/>
        <v>0</v>
      </c>
      <c r="V947" s="306">
        <f t="shared" ca="1" si="409"/>
        <v>1.2260357030278319</v>
      </c>
      <c r="W947" s="304">
        <f t="shared" ca="1" si="410"/>
        <v>58.365278271727995</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2.5090944788797982</v>
      </c>
      <c r="AH947" s="304">
        <f t="shared" ca="1" si="434"/>
        <v>-7.2503068042946976</v>
      </c>
    </row>
    <row r="948" spans="1:34" x14ac:dyDescent="0.3">
      <c r="A948" s="347">
        <f t="shared" ca="1" si="412"/>
        <v>1E-4</v>
      </c>
      <c r="B948" s="304">
        <f t="shared" ca="1" si="413"/>
        <v>33.942500000001623</v>
      </c>
      <c r="D948" s="306">
        <f t="shared" ca="1" si="414"/>
        <v>-0.7354358043826188</v>
      </c>
      <c r="E948" s="307">
        <f t="shared" ca="1" si="415"/>
        <v>-2.5970506284097414</v>
      </c>
      <c r="F948" s="304">
        <f t="shared" ca="1" si="416"/>
        <v>2.6991735381207604</v>
      </c>
      <c r="G948" s="306">
        <f t="shared" ca="1" si="417"/>
        <v>12.555040664751743</v>
      </c>
      <c r="H948" s="307">
        <f t="shared" ca="1" si="418"/>
        <v>-123.13732020656511</v>
      </c>
      <c r="I948" s="304">
        <f t="shared" ca="1" si="419"/>
        <v>123.77571924148822</v>
      </c>
      <c r="J948" s="306">
        <f t="shared" ca="1" si="420"/>
        <v>780.60585379989482</v>
      </c>
      <c r="K948" s="307">
        <f t="shared" ca="1" si="421"/>
        <v>-8.4634597105212048</v>
      </c>
      <c r="L948" s="304">
        <f t="shared" ca="1" si="406"/>
        <v>780.65173357710182</v>
      </c>
      <c r="M948" s="306">
        <f t="shared" ca="1" si="422"/>
        <v>-1.4691877847416952</v>
      </c>
      <c r="N948" s="304">
        <f t="shared" ca="1" si="423"/>
        <v>-84.178259377874028</v>
      </c>
      <c r="P948" s="310">
        <f t="shared" ca="1" si="424"/>
        <v>23</v>
      </c>
      <c r="Q948" s="304">
        <f t="shared" ca="1" si="425"/>
        <v>0</v>
      </c>
      <c r="R948" s="306">
        <f t="shared" ca="1" si="426"/>
        <v>0</v>
      </c>
      <c r="S948" s="307">
        <f t="shared" ca="1" si="427"/>
        <v>8.0499999999999989</v>
      </c>
      <c r="T948" s="304">
        <f t="shared" ca="1" si="407"/>
        <v>78.970499999999987</v>
      </c>
      <c r="U948" s="311">
        <f t="shared" ca="1" si="408"/>
        <v>0</v>
      </c>
      <c r="V948" s="306">
        <f t="shared" ca="1" si="409"/>
        <v>1.2260372127349486</v>
      </c>
      <c r="W948" s="304">
        <f t="shared" ca="1" si="410"/>
        <v>58.365586766647482</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2.5090569562347511</v>
      </c>
      <c r="AH948" s="304">
        <f t="shared" ca="1" si="434"/>
        <v>-7.250345126922733</v>
      </c>
    </row>
    <row r="949" spans="1:34" x14ac:dyDescent="0.3">
      <c r="A949" s="347">
        <f t="shared" ca="1" si="412"/>
        <v>1E-4</v>
      </c>
      <c r="B949" s="304">
        <f t="shared" ca="1" si="413"/>
        <v>33.942600000001626</v>
      </c>
      <c r="D949" s="306">
        <f t="shared" ca="1" si="414"/>
        <v>-0.73543389283859906</v>
      </c>
      <c r="E949" s="307">
        <f t="shared" ca="1" si="415"/>
        <v>-2.5970119124765079</v>
      </c>
      <c r="F949" s="304">
        <f t="shared" ca="1" si="416"/>
        <v>2.69913576618158</v>
      </c>
      <c r="G949" s="306">
        <f t="shared" ca="1" si="417"/>
        <v>12.554967121362459</v>
      </c>
      <c r="H949" s="307">
        <f t="shared" ca="1" si="418"/>
        <v>-123.13757990775636</v>
      </c>
      <c r="I949" s="304">
        <f t="shared" ca="1" si="419"/>
        <v>123.77597014347161</v>
      </c>
      <c r="J949" s="306">
        <f t="shared" ca="1" si="420"/>
        <v>780.60585379989482</v>
      </c>
      <c r="K949" s="307">
        <f t="shared" ca="1" si="421"/>
        <v>-8.4757734555269213</v>
      </c>
      <c r="L949" s="304">
        <f t="shared" ca="1" si="406"/>
        <v>780.65186717405095</v>
      </c>
      <c r="M949" s="306">
        <f t="shared" ca="1" si="422"/>
        <v>-1.4691885886663234</v>
      </c>
      <c r="N949" s="304">
        <f t="shared" ca="1" si="423"/>
        <v>-84.178305439362262</v>
      </c>
      <c r="P949" s="310">
        <f t="shared" ca="1" si="424"/>
        <v>23</v>
      </c>
      <c r="Q949" s="304">
        <f t="shared" ca="1" si="425"/>
        <v>0</v>
      </c>
      <c r="R949" s="306">
        <f t="shared" ca="1" si="426"/>
        <v>0</v>
      </c>
      <c r="S949" s="307">
        <f t="shared" ca="1" si="427"/>
        <v>8.0499999999999989</v>
      </c>
      <c r="T949" s="304">
        <f t="shared" ca="1" si="407"/>
        <v>78.970499999999987</v>
      </c>
      <c r="U949" s="311">
        <f t="shared" ca="1" si="408"/>
        <v>0</v>
      </c>
      <c r="V949" s="306">
        <f t="shared" ca="1" si="409"/>
        <v>1.2260387224471097</v>
      </c>
      <c r="W949" s="304">
        <f t="shared" ca="1" si="410"/>
        <v>58.365895259330856</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2.509019433853255</v>
      </c>
      <c r="AH949" s="304">
        <f t="shared" ca="1" si="434"/>
        <v>-7.25038344927298</v>
      </c>
    </row>
    <row r="950" spans="1:34" x14ac:dyDescent="0.3">
      <c r="A950" s="347">
        <f t="shared" ca="1" si="412"/>
        <v>1E-4</v>
      </c>
      <c r="B950" s="304">
        <f t="shared" ca="1" si="413"/>
        <v>33.942700000001629</v>
      </c>
      <c r="D950" s="306">
        <f t="shared" ca="1" si="414"/>
        <v>-0.73543198126210596</v>
      </c>
      <c r="E950" s="307">
        <f t="shared" ca="1" si="415"/>
        <v>-2.5969731968238898</v>
      </c>
      <c r="F950" s="304">
        <f t="shared" ca="1" si="416"/>
        <v>2.6990979945316549</v>
      </c>
      <c r="G950" s="306">
        <f t="shared" ca="1" si="417"/>
        <v>12.554893578164332</v>
      </c>
      <c r="H950" s="307">
        <f t="shared" ca="1" si="418"/>
        <v>-123.13783960507604</v>
      </c>
      <c r="I950" s="304">
        <f t="shared" ca="1" si="419"/>
        <v>123.77622104170278</v>
      </c>
      <c r="J950" s="306">
        <f t="shared" ca="1" si="420"/>
        <v>780.60585379989482</v>
      </c>
      <c r="K950" s="307">
        <f t="shared" ca="1" si="421"/>
        <v>-8.4880872265025626</v>
      </c>
      <c r="L950" s="304">
        <f t="shared" ca="1" si="406"/>
        <v>780.65200096549256</v>
      </c>
      <c r="M950" s="306">
        <f t="shared" ca="1" si="422"/>
        <v>-1.4691893925829833</v>
      </c>
      <c r="N950" s="304">
        <f t="shared" ca="1" si="423"/>
        <v>-84.178351500393958</v>
      </c>
      <c r="P950" s="310">
        <f t="shared" ca="1" si="424"/>
        <v>23</v>
      </c>
      <c r="Q950" s="304">
        <f t="shared" ca="1" si="425"/>
        <v>0</v>
      </c>
      <c r="R950" s="306">
        <f t="shared" ca="1" si="426"/>
        <v>0</v>
      </c>
      <c r="S950" s="307">
        <f t="shared" ca="1" si="427"/>
        <v>8.0499999999999989</v>
      </c>
      <c r="T950" s="304">
        <f t="shared" ca="1" si="407"/>
        <v>78.970499999999987</v>
      </c>
      <c r="U950" s="311">
        <f t="shared" ca="1" si="408"/>
        <v>0</v>
      </c>
      <c r="V950" s="306">
        <f t="shared" ca="1" si="409"/>
        <v>1.226040232164314</v>
      </c>
      <c r="W950" s="304">
        <f t="shared" ca="1" si="410"/>
        <v>58.366203749777995</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2.5089819117353027</v>
      </c>
      <c r="AH950" s="304">
        <f t="shared" ca="1" si="434"/>
        <v>-7.2504217713454491</v>
      </c>
    </row>
    <row r="951" spans="1:34" x14ac:dyDescent="0.3">
      <c r="A951" s="347">
        <f t="shared" ca="1" si="412"/>
        <v>1E-4</v>
      </c>
      <c r="B951" s="304">
        <f t="shared" ca="1" si="413"/>
        <v>33.942800000001633</v>
      </c>
      <c r="D951" s="306">
        <f t="shared" ca="1" si="414"/>
        <v>-0.73543006965313784</v>
      </c>
      <c r="E951" s="307">
        <f t="shared" ca="1" si="415"/>
        <v>-2.596934481451906</v>
      </c>
      <c r="F951" s="304">
        <f t="shared" ca="1" si="416"/>
        <v>2.6990602231710019</v>
      </c>
      <c r="G951" s="306">
        <f t="shared" ca="1" si="417"/>
        <v>12.554820035157366</v>
      </c>
      <c r="H951" s="307">
        <f t="shared" ca="1" si="418"/>
        <v>-123.13809929852418</v>
      </c>
      <c r="I951" s="304">
        <f t="shared" ca="1" si="419"/>
        <v>123.77647193618176</v>
      </c>
      <c r="J951" s="306">
        <f t="shared" ca="1" si="420"/>
        <v>780.60585379989482</v>
      </c>
      <c r="K951" s="307">
        <f t="shared" ca="1" si="421"/>
        <v>-8.5004010234477434</v>
      </c>
      <c r="L951" s="304">
        <f t="shared" ca="1" si="406"/>
        <v>780.6521349514278</v>
      </c>
      <c r="M951" s="306">
        <f t="shared" ca="1" si="422"/>
        <v>-1.4691901964916749</v>
      </c>
      <c r="N951" s="304">
        <f t="shared" ca="1" si="423"/>
        <v>-84.178397560969103</v>
      </c>
      <c r="P951" s="310">
        <f t="shared" ca="1" si="424"/>
        <v>23</v>
      </c>
      <c r="Q951" s="304">
        <f t="shared" ca="1" si="425"/>
        <v>0</v>
      </c>
      <c r="R951" s="306">
        <f t="shared" ca="1" si="426"/>
        <v>0</v>
      </c>
      <c r="S951" s="307">
        <f t="shared" ca="1" si="427"/>
        <v>8.0499999999999989</v>
      </c>
      <c r="T951" s="304">
        <f t="shared" ca="1" si="407"/>
        <v>78.970499999999987</v>
      </c>
      <c r="U951" s="311">
        <f t="shared" ca="1" si="408"/>
        <v>0</v>
      </c>
      <c r="V951" s="306">
        <f t="shared" ca="1" si="409"/>
        <v>1.2260417418865623</v>
      </c>
      <c r="W951" s="304">
        <f t="shared" ca="1" si="410"/>
        <v>58.366512237988971</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2.508944389880905</v>
      </c>
      <c r="AH951" s="304">
        <f t="shared" ca="1" si="434"/>
        <v>-7.2504600931401244</v>
      </c>
    </row>
    <row r="952" spans="1:34" x14ac:dyDescent="0.3">
      <c r="A952" s="347">
        <f t="shared" ca="1" si="412"/>
        <v>1E-4</v>
      </c>
      <c r="B952" s="304">
        <f t="shared" ca="1" si="413"/>
        <v>33.942900000001636</v>
      </c>
      <c r="D952" s="306">
        <f t="shared" ca="1" si="414"/>
        <v>-0.73542815801169725</v>
      </c>
      <c r="E952" s="307">
        <f t="shared" ca="1" si="415"/>
        <v>-2.5968957663605465</v>
      </c>
      <c r="F952" s="304">
        <f t="shared" ca="1" si="416"/>
        <v>2.6990224520996131</v>
      </c>
      <c r="G952" s="306">
        <f t="shared" ca="1" si="417"/>
        <v>12.554746492341565</v>
      </c>
      <c r="H952" s="307">
        <f t="shared" ca="1" si="418"/>
        <v>-123.13835898810082</v>
      </c>
      <c r="I952" s="304">
        <f t="shared" ca="1" si="419"/>
        <v>123.77672282690858</v>
      </c>
      <c r="J952" s="306">
        <f t="shared" ca="1" si="420"/>
        <v>780.60585379989482</v>
      </c>
      <c r="K952" s="307">
        <f t="shared" ca="1" si="421"/>
        <v>-8.5127148463620745</v>
      </c>
      <c r="L952" s="304">
        <f t="shared" ca="1" si="406"/>
        <v>780.65226913185757</v>
      </c>
      <c r="M952" s="306">
        <f t="shared" ca="1" si="422"/>
        <v>-1.4691910003923987</v>
      </c>
      <c r="N952" s="304">
        <f t="shared" ca="1" si="423"/>
        <v>-84.178443621087723</v>
      </c>
      <c r="P952" s="310">
        <f t="shared" ca="1" si="424"/>
        <v>23</v>
      </c>
      <c r="Q952" s="304">
        <f t="shared" ca="1" si="425"/>
        <v>0</v>
      </c>
      <c r="R952" s="306">
        <f t="shared" ca="1" si="426"/>
        <v>0</v>
      </c>
      <c r="S952" s="307">
        <f t="shared" ca="1" si="427"/>
        <v>8.0499999999999989</v>
      </c>
      <c r="T952" s="304">
        <f t="shared" ca="1" si="407"/>
        <v>78.970499999999987</v>
      </c>
      <c r="U952" s="311">
        <f t="shared" ca="1" si="408"/>
        <v>0</v>
      </c>
      <c r="V952" s="306">
        <f t="shared" ca="1" si="409"/>
        <v>1.2260432516138544</v>
      </c>
      <c r="W952" s="304">
        <f t="shared" ca="1" si="410"/>
        <v>58.366820723963748</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2.5089068682900537</v>
      </c>
      <c r="AH952" s="304">
        <f t="shared" ca="1" si="434"/>
        <v>-7.2504984146570157</v>
      </c>
    </row>
    <row r="953" spans="1:34" x14ac:dyDescent="0.3">
      <c r="A953" s="347">
        <f t="shared" ca="1" si="412"/>
        <v>1E-4</v>
      </c>
      <c r="B953" s="304">
        <f t="shared" ca="1" si="413"/>
        <v>33.943000000001639</v>
      </c>
      <c r="D953" s="306">
        <f t="shared" ca="1" si="414"/>
        <v>-0.7354262463377822</v>
      </c>
      <c r="E953" s="307">
        <f t="shared" ca="1" si="415"/>
        <v>-2.5968570515498133</v>
      </c>
      <c r="F953" s="304">
        <f t="shared" ca="1" si="416"/>
        <v>2.6989846813174894</v>
      </c>
      <c r="G953" s="306">
        <f t="shared" ca="1" si="417"/>
        <v>12.554672949716931</v>
      </c>
      <c r="H953" s="307">
        <f t="shared" ca="1" si="418"/>
        <v>-123.13861867380598</v>
      </c>
      <c r="I953" s="304">
        <f t="shared" ca="1" si="419"/>
        <v>123.77697371388328</v>
      </c>
      <c r="J953" s="306">
        <f t="shared" ca="1" si="420"/>
        <v>780.60585379989482</v>
      </c>
      <c r="K953" s="307">
        <f t="shared" ca="1" si="421"/>
        <v>-8.5250286952451706</v>
      </c>
      <c r="L953" s="304">
        <f t="shared" ca="1" si="406"/>
        <v>780.65240350678323</v>
      </c>
      <c r="M953" s="306">
        <f t="shared" ca="1" si="422"/>
        <v>-1.4691918042851544</v>
      </c>
      <c r="N953" s="304">
        <f t="shared" ca="1" si="423"/>
        <v>-84.178489680749806</v>
      </c>
      <c r="P953" s="310">
        <f t="shared" ca="1" si="424"/>
        <v>23</v>
      </c>
      <c r="Q953" s="304">
        <f t="shared" ca="1" si="425"/>
        <v>0</v>
      </c>
      <c r="R953" s="306">
        <f t="shared" ca="1" si="426"/>
        <v>0</v>
      </c>
      <c r="S953" s="307">
        <f t="shared" ca="1" si="427"/>
        <v>8.0499999999999989</v>
      </c>
      <c r="T953" s="304">
        <f t="shared" ca="1" si="407"/>
        <v>78.970499999999987</v>
      </c>
      <c r="U953" s="311">
        <f t="shared" ca="1" si="408"/>
        <v>0</v>
      </c>
      <c r="V953" s="306">
        <f t="shared" ca="1" si="409"/>
        <v>1.2260447613461907</v>
      </c>
      <c r="W953" s="304">
        <f t="shared" ca="1" si="410"/>
        <v>58.367129207702369</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2.5088693469627605</v>
      </c>
      <c r="AH953" s="304">
        <f t="shared" ca="1" si="434"/>
        <v>-7.2505367358961186</v>
      </c>
    </row>
    <row r="954" spans="1:34" x14ac:dyDescent="0.3">
      <c r="A954" s="347">
        <f t="shared" ca="1" si="412"/>
        <v>1E-4</v>
      </c>
      <c r="B954" s="304">
        <f t="shared" ca="1" si="413"/>
        <v>33.943100000001643</v>
      </c>
      <c r="D954" s="306">
        <f t="shared" ca="1" si="414"/>
        <v>-0.73542433463139623</v>
      </c>
      <c r="E954" s="307">
        <f t="shared" ca="1" si="415"/>
        <v>-2.5968183370197027</v>
      </c>
      <c r="F954" s="304">
        <f t="shared" ca="1" si="416"/>
        <v>2.6989469108246289</v>
      </c>
      <c r="G954" s="306">
        <f t="shared" ca="1" si="417"/>
        <v>12.554599407283467</v>
      </c>
      <c r="H954" s="307">
        <f t="shared" ca="1" si="418"/>
        <v>-123.13887835563968</v>
      </c>
      <c r="I954" s="304">
        <f t="shared" ca="1" si="419"/>
        <v>123.77722459710586</v>
      </c>
      <c r="J954" s="306">
        <f t="shared" ca="1" si="420"/>
        <v>780.60585379989482</v>
      </c>
      <c r="K954" s="307">
        <f t="shared" ca="1" si="421"/>
        <v>-8.5373425700966425</v>
      </c>
      <c r="L954" s="304">
        <f t="shared" ca="1" si="406"/>
        <v>780.65253807620581</v>
      </c>
      <c r="M954" s="306">
        <f t="shared" ca="1" si="422"/>
        <v>-1.4691926081699425</v>
      </c>
      <c r="N954" s="304">
        <f t="shared" ca="1" si="423"/>
        <v>-84.178535739955379</v>
      </c>
      <c r="P954" s="310">
        <f t="shared" ca="1" si="424"/>
        <v>23</v>
      </c>
      <c r="Q954" s="304">
        <f t="shared" ca="1" si="425"/>
        <v>0</v>
      </c>
      <c r="R954" s="306">
        <f t="shared" ca="1" si="426"/>
        <v>0</v>
      </c>
      <c r="S954" s="307">
        <f t="shared" ca="1" si="427"/>
        <v>8.0499999999999989</v>
      </c>
      <c r="T954" s="304">
        <f t="shared" ca="1" si="407"/>
        <v>78.970499999999987</v>
      </c>
      <c r="U954" s="311">
        <f t="shared" ca="1" si="408"/>
        <v>0</v>
      </c>
      <c r="V954" s="306">
        <f t="shared" ca="1" si="409"/>
        <v>1.22604627108357</v>
      </c>
      <c r="W954" s="304">
        <f t="shared" ca="1" si="410"/>
        <v>58.367437689204735</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2.5088318258990112</v>
      </c>
      <c r="AH954" s="304">
        <f t="shared" ca="1" si="434"/>
        <v>-7.2505750568574383</v>
      </c>
    </row>
    <row r="955" spans="1:34" x14ac:dyDescent="0.3">
      <c r="A955" s="347">
        <f t="shared" ca="1" si="412"/>
        <v>1E-4</v>
      </c>
      <c r="B955" s="304">
        <f t="shared" ca="1" si="413"/>
        <v>33.943200000001646</v>
      </c>
      <c r="D955" s="306">
        <f t="shared" ca="1" si="414"/>
        <v>-0.73542242289253656</v>
      </c>
      <c r="E955" s="307">
        <f t="shared" ca="1" si="415"/>
        <v>-2.596779622770228</v>
      </c>
      <c r="F955" s="304">
        <f t="shared" ca="1" si="416"/>
        <v>2.6989091406210433</v>
      </c>
      <c r="G955" s="306">
        <f t="shared" ca="1" si="417"/>
        <v>12.554525865041178</v>
      </c>
      <c r="H955" s="307">
        <f t="shared" ca="1" si="418"/>
        <v>-123.13913803360195</v>
      </c>
      <c r="I955" s="304">
        <f t="shared" ca="1" si="419"/>
        <v>123.77747547657636</v>
      </c>
      <c r="J955" s="306">
        <f t="shared" ca="1" si="420"/>
        <v>780.60585379989482</v>
      </c>
      <c r="K955" s="307">
        <f t="shared" ca="1" si="421"/>
        <v>-8.5496564709161049</v>
      </c>
      <c r="L955" s="304">
        <f t="shared" ca="1" si="406"/>
        <v>780.65267284012634</v>
      </c>
      <c r="M955" s="306">
        <f t="shared" ca="1" si="422"/>
        <v>-1.4691934120467627</v>
      </c>
      <c r="N955" s="304">
        <f t="shared" ca="1" si="423"/>
        <v>-84.178581798704414</v>
      </c>
      <c r="P955" s="310">
        <f t="shared" ca="1" si="424"/>
        <v>23</v>
      </c>
      <c r="Q955" s="304">
        <f t="shared" ca="1" si="425"/>
        <v>0</v>
      </c>
      <c r="R955" s="306">
        <f t="shared" ca="1" si="426"/>
        <v>0</v>
      </c>
      <c r="S955" s="307">
        <f t="shared" ca="1" si="427"/>
        <v>8.0499999999999989</v>
      </c>
      <c r="T955" s="304">
        <f t="shared" ca="1" si="407"/>
        <v>78.970499999999987</v>
      </c>
      <c r="U955" s="311">
        <f t="shared" ca="1" si="408"/>
        <v>0</v>
      </c>
      <c r="V955" s="306">
        <f t="shared" ca="1" si="409"/>
        <v>1.2260477808259933</v>
      </c>
      <c r="W955" s="304">
        <f t="shared" ca="1" si="410"/>
        <v>58.367746168470916</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2.5087943050988244</v>
      </c>
      <c r="AH955" s="304">
        <f t="shared" ca="1" si="434"/>
        <v>-7.2506133775409616</v>
      </c>
    </row>
    <row r="956" spans="1:34" x14ac:dyDescent="0.3">
      <c r="A956" s="347">
        <f t="shared" ca="1" si="412"/>
        <v>1E-4</v>
      </c>
      <c r="B956" s="304">
        <f t="shared" ca="1" si="413"/>
        <v>33.943300000001649</v>
      </c>
      <c r="D956" s="306">
        <f t="shared" ca="1" si="414"/>
        <v>-0.73542051112120721</v>
      </c>
      <c r="E956" s="307">
        <f t="shared" ca="1" si="415"/>
        <v>-2.5967409088013795</v>
      </c>
      <c r="F956" s="304">
        <f t="shared" ca="1" si="416"/>
        <v>2.6988713707067244</v>
      </c>
      <c r="G956" s="306">
        <f t="shared" ca="1" si="417"/>
        <v>12.554452322990066</v>
      </c>
      <c r="H956" s="307">
        <f t="shared" ca="1" si="418"/>
        <v>-123.13939770769284</v>
      </c>
      <c r="I956" s="304">
        <f t="shared" ca="1" si="419"/>
        <v>123.77772635229481</v>
      </c>
      <c r="J956" s="306">
        <f t="shared" ca="1" si="420"/>
        <v>780.60585379989482</v>
      </c>
      <c r="K956" s="307">
        <f t="shared" ca="1" si="421"/>
        <v>-8.5619703977031705</v>
      </c>
      <c r="L956" s="304">
        <f t="shared" ca="1" si="406"/>
        <v>780.65280779854618</v>
      </c>
      <c r="M956" s="306">
        <f t="shared" ca="1" si="422"/>
        <v>-1.4691942159156153</v>
      </c>
      <c r="N956" s="304">
        <f t="shared" ca="1" si="423"/>
        <v>-84.178627856996954</v>
      </c>
      <c r="P956" s="310">
        <f t="shared" ca="1" si="424"/>
        <v>23</v>
      </c>
      <c r="Q956" s="304">
        <f t="shared" ca="1" si="425"/>
        <v>0</v>
      </c>
      <c r="R956" s="306">
        <f t="shared" ca="1" si="426"/>
        <v>0</v>
      </c>
      <c r="S956" s="307">
        <f t="shared" ca="1" si="427"/>
        <v>8.0499999999999989</v>
      </c>
      <c r="T956" s="304">
        <f t="shared" ca="1" si="407"/>
        <v>78.970499999999987</v>
      </c>
      <c r="U956" s="311">
        <f t="shared" ca="1" si="408"/>
        <v>0</v>
      </c>
      <c r="V956" s="306">
        <f t="shared" ca="1" si="409"/>
        <v>1.2260492905734601</v>
      </c>
      <c r="W956" s="304">
        <f t="shared" ca="1" si="410"/>
        <v>58.36805464550087</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2.5087567845621885</v>
      </c>
      <c r="AH956" s="304">
        <f t="shared" ca="1" si="434"/>
        <v>-7.2506516979466982</v>
      </c>
    </row>
    <row r="957" spans="1:34" x14ac:dyDescent="0.3">
      <c r="A957" s="347">
        <f t="shared" ca="1" si="412"/>
        <v>1E-4</v>
      </c>
      <c r="B957" s="304">
        <f t="shared" ca="1" si="413"/>
        <v>33.943400000001652</v>
      </c>
      <c r="D957" s="306">
        <f t="shared" ca="1" si="414"/>
        <v>-0.73541859931740783</v>
      </c>
      <c r="E957" s="307">
        <f t="shared" ca="1" si="415"/>
        <v>-2.5967021951131617</v>
      </c>
      <c r="F957" s="304">
        <f t="shared" ca="1" si="416"/>
        <v>2.6988336010816769</v>
      </c>
      <c r="G957" s="306">
        <f t="shared" ca="1" si="417"/>
        <v>12.554378781130135</v>
      </c>
      <c r="H957" s="307">
        <f t="shared" ca="1" si="418"/>
        <v>-123.13965737791234</v>
      </c>
      <c r="I957" s="304">
        <f t="shared" ca="1" si="419"/>
        <v>123.77797722426124</v>
      </c>
      <c r="J957" s="306">
        <f t="shared" ca="1" si="420"/>
        <v>780.60585379989482</v>
      </c>
      <c r="K957" s="307">
        <f t="shared" ca="1" si="421"/>
        <v>-8.5742843504574502</v>
      </c>
      <c r="L957" s="304">
        <f t="shared" ca="1" si="406"/>
        <v>780.65294295146623</v>
      </c>
      <c r="M957" s="306">
        <f t="shared" ca="1" si="422"/>
        <v>-1.4691950197765005</v>
      </c>
      <c r="N957" s="304">
        <f t="shared" ca="1" si="423"/>
        <v>-84.178673914832999</v>
      </c>
      <c r="P957" s="310">
        <f t="shared" ca="1" si="424"/>
        <v>23</v>
      </c>
      <c r="Q957" s="304">
        <f t="shared" ca="1" si="425"/>
        <v>0</v>
      </c>
      <c r="R957" s="306">
        <f t="shared" ca="1" si="426"/>
        <v>0</v>
      </c>
      <c r="S957" s="307">
        <f t="shared" ca="1" si="427"/>
        <v>8.0499999999999989</v>
      </c>
      <c r="T957" s="304">
        <f t="shared" ca="1" si="407"/>
        <v>78.970499999999987</v>
      </c>
      <c r="U957" s="311">
        <f t="shared" ca="1" si="408"/>
        <v>0</v>
      </c>
      <c r="V957" s="306">
        <f t="shared" ca="1" si="409"/>
        <v>1.2260508003259705</v>
      </c>
      <c r="W957" s="304">
        <f t="shared" ca="1" si="410"/>
        <v>58.36836312029461</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2.5087192642891125</v>
      </c>
      <c r="AH957" s="304">
        <f t="shared" ca="1" si="434"/>
        <v>-7.2506900180746428</v>
      </c>
    </row>
    <row r="958" spans="1:34" x14ac:dyDescent="0.3">
      <c r="A958" s="347">
        <f t="shared" ca="1" si="412"/>
        <v>1E-4</v>
      </c>
      <c r="B958" s="304">
        <f t="shared" ca="1" si="413"/>
        <v>33.943500000001656</v>
      </c>
      <c r="D958" s="306">
        <f t="shared" ca="1" si="414"/>
        <v>-0.73541668748113842</v>
      </c>
      <c r="E958" s="307">
        <f t="shared" ca="1" si="415"/>
        <v>-2.5966634817055736</v>
      </c>
      <c r="F958" s="304">
        <f t="shared" ca="1" si="416"/>
        <v>2.6987958317458998</v>
      </c>
      <c r="G958" s="306">
        <f t="shared" ca="1" si="417"/>
        <v>12.554305239461387</v>
      </c>
      <c r="H958" s="307">
        <f t="shared" ca="1" si="418"/>
        <v>-123.13991704426051</v>
      </c>
      <c r="I958" s="304">
        <f t="shared" ca="1" si="419"/>
        <v>123.77822809247566</v>
      </c>
      <c r="J958" s="306">
        <f t="shared" ca="1" si="420"/>
        <v>780.60585379989482</v>
      </c>
      <c r="K958" s="307">
        <f t="shared" ca="1" si="421"/>
        <v>-8.5865983291785586</v>
      </c>
      <c r="L958" s="304">
        <f t="shared" ca="1" si="406"/>
        <v>780.65307829888775</v>
      </c>
      <c r="M958" s="306">
        <f t="shared" ca="1" si="422"/>
        <v>-1.4691958236294183</v>
      </c>
      <c r="N958" s="304">
        <f t="shared" ca="1" si="423"/>
        <v>-84.178719972212534</v>
      </c>
      <c r="P958" s="310">
        <f t="shared" ca="1" si="424"/>
        <v>23</v>
      </c>
      <c r="Q958" s="304">
        <f t="shared" ca="1" si="425"/>
        <v>0</v>
      </c>
      <c r="R958" s="306">
        <f t="shared" ca="1" si="426"/>
        <v>0</v>
      </c>
      <c r="S958" s="307">
        <f t="shared" ca="1" si="427"/>
        <v>8.0499999999999989</v>
      </c>
      <c r="T958" s="304">
        <f t="shared" ca="1" si="407"/>
        <v>78.970499999999987</v>
      </c>
      <c r="U958" s="311">
        <f t="shared" ca="1" si="408"/>
        <v>0</v>
      </c>
      <c r="V958" s="306">
        <f t="shared" ca="1" si="409"/>
        <v>1.2260523100835243</v>
      </c>
      <c r="W958" s="304">
        <f t="shared" ca="1" si="410"/>
        <v>58.368671592852124</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2.508681744279591</v>
      </c>
      <c r="AH958" s="304">
        <f t="shared" ca="1" si="434"/>
        <v>-7.2507283379247971</v>
      </c>
    </row>
    <row r="959" spans="1:34" x14ac:dyDescent="0.3">
      <c r="A959" s="347">
        <f t="shared" ca="1" si="412"/>
        <v>1E-4</v>
      </c>
      <c r="B959" s="304">
        <f t="shared" ca="1" si="413"/>
        <v>33.943600000001659</v>
      </c>
      <c r="D959" s="306">
        <f t="shared" ca="1" si="414"/>
        <v>-0.73541477561240054</v>
      </c>
      <c r="E959" s="307">
        <f t="shared" ca="1" si="415"/>
        <v>-2.5966247685786179</v>
      </c>
      <c r="F959" s="304">
        <f t="shared" ca="1" si="416"/>
        <v>2.6987580626993961</v>
      </c>
      <c r="G959" s="306">
        <f t="shared" ca="1" si="417"/>
        <v>12.554231697983825</v>
      </c>
      <c r="H959" s="307">
        <f t="shared" ca="1" si="418"/>
        <v>-123.14017670673738</v>
      </c>
      <c r="I959" s="304">
        <f t="shared" ca="1" si="419"/>
        <v>123.7784789569381</v>
      </c>
      <c r="J959" s="306">
        <f t="shared" ca="1" si="420"/>
        <v>780.60585379989482</v>
      </c>
      <c r="K959" s="307">
        <f t="shared" ca="1" si="421"/>
        <v>-8.5989123338661084</v>
      </c>
      <c r="L959" s="304">
        <f t="shared" ca="1" si="406"/>
        <v>780.65321384081176</v>
      </c>
      <c r="M959" s="306">
        <f t="shared" ca="1" si="422"/>
        <v>-1.4691966274743689</v>
      </c>
      <c r="N959" s="304">
        <f t="shared" ca="1" si="423"/>
        <v>-84.178766029135588</v>
      </c>
      <c r="P959" s="310">
        <f t="shared" ca="1" si="424"/>
        <v>23</v>
      </c>
      <c r="Q959" s="304">
        <f t="shared" ca="1" si="425"/>
        <v>0</v>
      </c>
      <c r="R959" s="306">
        <f t="shared" ca="1" si="426"/>
        <v>0</v>
      </c>
      <c r="S959" s="307">
        <f t="shared" ca="1" si="427"/>
        <v>8.0499999999999989</v>
      </c>
      <c r="T959" s="304">
        <f t="shared" ca="1" si="407"/>
        <v>78.970499999999987</v>
      </c>
      <c r="U959" s="311">
        <f t="shared" ca="1" si="408"/>
        <v>0</v>
      </c>
      <c r="V959" s="306">
        <f t="shared" ca="1" si="409"/>
        <v>1.2260538198461222</v>
      </c>
      <c r="W959" s="304">
        <f t="shared" ca="1" si="410"/>
        <v>58.36898006317341</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2.5086442245336258</v>
      </c>
      <c r="AH959" s="304">
        <f t="shared" ca="1" si="434"/>
        <v>-7.2507666574971594</v>
      </c>
    </row>
    <row r="960" spans="1:34" x14ac:dyDescent="0.3">
      <c r="A960" s="347">
        <f t="shared" ca="1" si="412"/>
        <v>1E-4</v>
      </c>
      <c r="B960" s="304">
        <f t="shared" ca="1" si="413"/>
        <v>33.943700000001662</v>
      </c>
      <c r="D960" s="306">
        <f t="shared" ca="1" si="414"/>
        <v>-0.73541286371119385</v>
      </c>
      <c r="E960" s="307">
        <f t="shared" ca="1" si="415"/>
        <v>-2.5965860557322928</v>
      </c>
      <c r="F960" s="304">
        <f t="shared" ca="1" si="416"/>
        <v>2.6987202939421651</v>
      </c>
      <c r="G960" s="306">
        <f t="shared" ca="1" si="417"/>
        <v>12.554158156697454</v>
      </c>
      <c r="H960" s="307">
        <f t="shared" ca="1" si="418"/>
        <v>-123.14043636534295</v>
      </c>
      <c r="I960" s="304">
        <f t="shared" ca="1" si="419"/>
        <v>123.7787298176486</v>
      </c>
      <c r="J960" s="306">
        <f t="shared" ca="1" si="420"/>
        <v>780.60585379989482</v>
      </c>
      <c r="K960" s="307">
        <f t="shared" ca="1" si="421"/>
        <v>-8.6112263645197125</v>
      </c>
      <c r="L960" s="304">
        <f t="shared" ca="1" si="406"/>
        <v>780.65334957723951</v>
      </c>
      <c r="M960" s="306">
        <f t="shared" ca="1" si="422"/>
        <v>-1.4691974313113523</v>
      </c>
      <c r="N960" s="304">
        <f t="shared" ca="1" si="423"/>
        <v>-84.178812085602146</v>
      </c>
      <c r="P960" s="310">
        <f t="shared" ca="1" si="424"/>
        <v>23</v>
      </c>
      <c r="Q960" s="304">
        <f t="shared" ca="1" si="425"/>
        <v>0</v>
      </c>
      <c r="R960" s="306">
        <f t="shared" ca="1" si="426"/>
        <v>0</v>
      </c>
      <c r="S960" s="307">
        <f t="shared" ca="1" si="427"/>
        <v>8.0499999999999989</v>
      </c>
      <c r="T960" s="304">
        <f t="shared" ca="1" si="407"/>
        <v>78.970499999999987</v>
      </c>
      <c r="U960" s="311">
        <f t="shared" ca="1" si="408"/>
        <v>0</v>
      </c>
      <c r="V960" s="306">
        <f t="shared" ca="1" si="409"/>
        <v>1.2260553296137633</v>
      </c>
      <c r="W960" s="304">
        <f t="shared" ca="1" si="410"/>
        <v>58.369288531258441</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2.5086067050512231</v>
      </c>
      <c r="AH960" s="304">
        <f t="shared" ca="1" si="434"/>
        <v>-7.2508049767917289</v>
      </c>
    </row>
    <row r="961" spans="1:34" x14ac:dyDescent="0.3">
      <c r="A961" s="347">
        <f t="shared" ca="1" si="412"/>
        <v>1E-4</v>
      </c>
      <c r="B961" s="304">
        <f t="shared" ca="1" si="413"/>
        <v>33.943800000001666</v>
      </c>
      <c r="D961" s="306">
        <f t="shared" ca="1" si="414"/>
        <v>-0.73541095177751992</v>
      </c>
      <c r="E961" s="307">
        <f t="shared" ca="1" si="415"/>
        <v>-2.5965473431666037</v>
      </c>
      <c r="F961" s="304">
        <f t="shared" ca="1" si="416"/>
        <v>2.6986825254742111</v>
      </c>
      <c r="G961" s="306">
        <f t="shared" ca="1" si="417"/>
        <v>12.554084615602276</v>
      </c>
      <c r="H961" s="307">
        <f t="shared" ca="1" si="418"/>
        <v>-123.14069602007727</v>
      </c>
      <c r="I961" s="304">
        <f t="shared" ca="1" si="419"/>
        <v>123.77898067460717</v>
      </c>
      <c r="J961" s="306">
        <f t="shared" ca="1" si="420"/>
        <v>780.60585379989482</v>
      </c>
      <c r="K961" s="307">
        <f t="shared" ca="1" si="421"/>
        <v>-8.6235404211389834</v>
      </c>
      <c r="L961" s="304">
        <f t="shared" ca="1" si="406"/>
        <v>780.65348550817203</v>
      </c>
      <c r="M961" s="306">
        <f t="shared" ca="1" si="422"/>
        <v>-1.469198235140369</v>
      </c>
      <c r="N961" s="304">
        <f t="shared" ca="1" si="423"/>
        <v>-84.178858141612253</v>
      </c>
      <c r="P961" s="310">
        <f t="shared" ca="1" si="424"/>
        <v>23</v>
      </c>
      <c r="Q961" s="304">
        <f t="shared" ca="1" si="425"/>
        <v>0</v>
      </c>
      <c r="R961" s="306">
        <f t="shared" ca="1" si="426"/>
        <v>0</v>
      </c>
      <c r="S961" s="307">
        <f t="shared" ca="1" si="427"/>
        <v>8.0499999999999989</v>
      </c>
      <c r="T961" s="304">
        <f t="shared" ca="1" si="407"/>
        <v>78.970499999999987</v>
      </c>
      <c r="U961" s="311">
        <f t="shared" ca="1" si="408"/>
        <v>0</v>
      </c>
      <c r="V961" s="306">
        <f t="shared" ca="1" si="409"/>
        <v>1.2260568393864482</v>
      </c>
      <c r="W961" s="304">
        <f t="shared" ca="1" si="410"/>
        <v>58.369596997107244</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2.5085691858323802</v>
      </c>
      <c r="AH961" s="304">
        <f t="shared" ca="1" si="434"/>
        <v>-7.2508432958085027</v>
      </c>
    </row>
    <row r="962" spans="1:34" x14ac:dyDescent="0.3">
      <c r="A962" s="347">
        <f t="shared" ca="1" si="412"/>
        <v>1E-4</v>
      </c>
      <c r="B962" s="304">
        <f t="shared" ca="1" si="413"/>
        <v>33.943900000001669</v>
      </c>
      <c r="D962" s="306">
        <f t="shared" ca="1" si="414"/>
        <v>-0.73540903981137729</v>
      </c>
      <c r="E962" s="307">
        <f t="shared" ca="1" si="415"/>
        <v>-2.5965086308815453</v>
      </c>
      <c r="F962" s="304">
        <f t="shared" ca="1" si="416"/>
        <v>2.6986447572955297</v>
      </c>
      <c r="G962" s="306">
        <f t="shared" ca="1" si="417"/>
        <v>12.554011074698295</v>
      </c>
      <c r="H962" s="307">
        <f t="shared" ca="1" si="418"/>
        <v>-123.14095567094036</v>
      </c>
      <c r="I962" s="304">
        <f t="shared" ca="1" si="419"/>
        <v>123.77923152781385</v>
      </c>
      <c r="J962" s="306">
        <f t="shared" ca="1" si="420"/>
        <v>780.60585379989482</v>
      </c>
      <c r="K962" s="307">
        <f t="shared" ca="1" si="421"/>
        <v>-8.6358545037235341</v>
      </c>
      <c r="L962" s="304">
        <f t="shared" ca="1" si="406"/>
        <v>780.65362163361044</v>
      </c>
      <c r="M962" s="306">
        <f t="shared" ca="1" si="422"/>
        <v>-1.4691990389614185</v>
      </c>
      <c r="N962" s="304">
        <f t="shared" ca="1" si="423"/>
        <v>-84.178904197165878</v>
      </c>
      <c r="P962" s="310">
        <f t="shared" ca="1" si="424"/>
        <v>23</v>
      </c>
      <c r="Q962" s="304">
        <f t="shared" ca="1" si="425"/>
        <v>0</v>
      </c>
      <c r="R962" s="306">
        <f t="shared" ca="1" si="426"/>
        <v>0</v>
      </c>
      <c r="S962" s="307">
        <f t="shared" ca="1" si="427"/>
        <v>8.0499999999999989</v>
      </c>
      <c r="T962" s="304">
        <f t="shared" ca="1" si="407"/>
        <v>78.970499999999987</v>
      </c>
      <c r="U962" s="311">
        <f t="shared" ca="1" si="408"/>
        <v>0</v>
      </c>
      <c r="V962" s="306">
        <f t="shared" ca="1" si="409"/>
        <v>1.2260583491641759</v>
      </c>
      <c r="W962" s="304">
        <f t="shared" ca="1" si="410"/>
        <v>58.369905460719771</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2.5085316668770989</v>
      </c>
      <c r="AH962" s="304">
        <f t="shared" ca="1" si="434"/>
        <v>-7.2508816145474846</v>
      </c>
    </row>
    <row r="963" spans="1:34" x14ac:dyDescent="0.3">
      <c r="A963" s="347">
        <f t="shared" ca="1" si="412"/>
        <v>1E-4</v>
      </c>
      <c r="B963" s="304">
        <f t="shared" ca="1" si="413"/>
        <v>33.944000000001672</v>
      </c>
      <c r="D963" s="306">
        <f t="shared" ca="1" si="414"/>
        <v>-0.73540712781277029</v>
      </c>
      <c r="E963" s="307">
        <f t="shared" ca="1" si="415"/>
        <v>-2.5964699188771254</v>
      </c>
      <c r="F963" s="304">
        <f t="shared" ca="1" si="416"/>
        <v>2.6986069894061293</v>
      </c>
      <c r="G963" s="306">
        <f t="shared" ca="1" si="417"/>
        <v>12.553937533985513</v>
      </c>
      <c r="H963" s="307">
        <f t="shared" ca="1" si="418"/>
        <v>-123.14121531793225</v>
      </c>
      <c r="I963" s="304">
        <f t="shared" ca="1" si="419"/>
        <v>123.77948237726865</v>
      </c>
      <c r="J963" s="306">
        <f t="shared" ca="1" si="420"/>
        <v>780.60585379989482</v>
      </c>
      <c r="K963" s="307">
        <f t="shared" ca="1" si="421"/>
        <v>-8.6481686122729773</v>
      </c>
      <c r="L963" s="304">
        <f t="shared" ca="1" si="406"/>
        <v>780.6537579535559</v>
      </c>
      <c r="M963" s="306">
        <f t="shared" ca="1" si="422"/>
        <v>-1.4691998427745014</v>
      </c>
      <c r="N963" s="304">
        <f t="shared" ca="1" si="423"/>
        <v>-84.17895025226305</v>
      </c>
      <c r="P963" s="310">
        <f t="shared" ca="1" si="424"/>
        <v>23</v>
      </c>
      <c r="Q963" s="304">
        <f t="shared" ca="1" si="425"/>
        <v>0</v>
      </c>
      <c r="R963" s="306">
        <f t="shared" ca="1" si="426"/>
        <v>0</v>
      </c>
      <c r="S963" s="307">
        <f t="shared" ca="1" si="427"/>
        <v>8.0499999999999989</v>
      </c>
      <c r="T963" s="304">
        <f t="shared" ca="1" si="407"/>
        <v>78.970499999999987</v>
      </c>
      <c r="U963" s="311">
        <f t="shared" ca="1" si="408"/>
        <v>0</v>
      </c>
      <c r="V963" s="306">
        <f t="shared" ca="1" si="409"/>
        <v>1.2260598589469471</v>
      </c>
      <c r="W963" s="304">
        <f t="shared" ca="1" si="410"/>
        <v>58.370213922096028</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2.5084941481853802</v>
      </c>
      <c r="AH963" s="304">
        <f t="shared" ca="1" si="434"/>
        <v>-7.2509199330086682</v>
      </c>
    </row>
    <row r="964" spans="1:34" x14ac:dyDescent="0.3">
      <c r="A964" s="347">
        <f t="shared" ca="1" si="412"/>
        <v>1E-4</v>
      </c>
      <c r="B964" s="304">
        <f t="shared" ca="1" si="413"/>
        <v>33.944100000001676</v>
      </c>
      <c r="D964" s="306">
        <f t="shared" ca="1" si="414"/>
        <v>-0.73540521578169571</v>
      </c>
      <c r="E964" s="307">
        <f t="shared" ca="1" si="415"/>
        <v>-2.5964312071533406</v>
      </c>
      <c r="F964" s="304">
        <f t="shared" ca="1" si="416"/>
        <v>2.6985692218060064</v>
      </c>
      <c r="G964" s="306">
        <f t="shared" ca="1" si="417"/>
        <v>12.553863993463935</v>
      </c>
      <c r="H964" s="307">
        <f t="shared" ca="1" si="418"/>
        <v>-123.14147496105296</v>
      </c>
      <c r="I964" s="304">
        <f t="shared" ca="1" si="419"/>
        <v>123.77973322297163</v>
      </c>
      <c r="J964" s="306">
        <f t="shared" ca="1" si="420"/>
        <v>780.60585379989482</v>
      </c>
      <c r="K964" s="307">
        <f t="shared" ca="1" si="421"/>
        <v>-8.6604827467869274</v>
      </c>
      <c r="L964" s="304">
        <f t="shared" ref="L964:L1004" ca="1" si="435">SQRT(pos_x^2+pos_z^2)</f>
        <v>780.65389446800941</v>
      </c>
      <c r="M964" s="306">
        <f t="shared" ca="1" si="422"/>
        <v>-1.4692006465796177</v>
      </c>
      <c r="N964" s="304">
        <f t="shared" ca="1" si="423"/>
        <v>-84.178996306903755</v>
      </c>
      <c r="P964" s="310">
        <f t="shared" ca="1" si="424"/>
        <v>23</v>
      </c>
      <c r="Q964" s="304">
        <f t="shared" ca="1" si="425"/>
        <v>0</v>
      </c>
      <c r="R964" s="306">
        <f t="shared" ca="1" si="426"/>
        <v>0</v>
      </c>
      <c r="S964" s="307">
        <f t="shared" ca="1" si="427"/>
        <v>8.0499999999999989</v>
      </c>
      <c r="T964" s="304">
        <f t="shared" ref="T964:T1004" ca="1" si="436">m*g</f>
        <v>78.970499999999987</v>
      </c>
      <c r="U964" s="311">
        <f t="shared" ref="U964:U1004" ca="1" si="437">IF(pos_xz&lt;L_rampe,Poids*COS(Beta),0)</f>
        <v>0</v>
      </c>
      <c r="V964" s="306">
        <f t="shared" ref="V964:V1004" ca="1" si="438">Rho_moyen*(20000-Alt_rampe-pos_z)/(20000+Alt_rampe+pos_z)</f>
        <v>1.2260613687347621</v>
      </c>
      <c r="W964" s="304">
        <f t="shared" ref="W964:W1003" ca="1" si="439">1/2*Rho*Sref*Cx*vit_xz^2</f>
        <v>58.370522381236057</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2.5084566297572284</v>
      </c>
      <c r="AH964" s="304">
        <f t="shared" ca="1" si="434"/>
        <v>-7.2509582511920545</v>
      </c>
    </row>
    <row r="965" spans="1:34" x14ac:dyDescent="0.3">
      <c r="A965" s="347">
        <f t="shared" ref="A965:A1004" ca="1" si="441">IF(B964+0.01&lt;=T_ini+ROUNDUP(Temps_fin_propu,0), 0.01, IF(K964&gt;0, 0.1, 0.0001))</f>
        <v>1E-4</v>
      </c>
      <c r="B965" s="304">
        <f t="shared" ref="B965:B1004" ca="1" si="442">B964+pas</f>
        <v>33.944200000001679</v>
      </c>
      <c r="D965" s="306">
        <f t="shared" ref="D965:D1004" ca="1" si="443">IF(AND(L964&lt;L_rampe,Poussee&lt;Poids*SIN(M964)),0,(-W964+Poussee)/m*COS(M964)-U964/m*SIN(M964))</f>
        <v>-0.73540330371815721</v>
      </c>
      <c r="E965" s="307">
        <f t="shared" ref="E965:E1004" ca="1" si="444">IF(AND(L964&lt;L_rampe,Poussee&lt;Poids*SIN(M964)),0,(-W964+Poussee)/m*SIN(M964)+U964/m*COS(M964)-Poids/m)</f>
        <v>-2.5963924957101892</v>
      </c>
      <c r="F965" s="304">
        <f t="shared" ref="F965:F1004" ca="1" si="445">SQRT(acc_x^2+acc_z^2)</f>
        <v>2.6985314544951602</v>
      </c>
      <c r="G965" s="306">
        <f t="shared" ref="G965:G1004" ca="1" si="446">G964+acc_x*pas</f>
        <v>12.553790453133564</v>
      </c>
      <c r="H965" s="307">
        <f t="shared" ref="H965:H1004" ca="1" si="447">H964+acc_z*pas</f>
        <v>-123.14173460030254</v>
      </c>
      <c r="I965" s="304">
        <f t="shared" ref="I965:I1004" ca="1" si="448">SQRT(vit_x^2+vit_z^2)</f>
        <v>123.77998406492277</v>
      </c>
      <c r="J965" s="306">
        <f t="shared" ref="J965:J1004" ca="1" si="449">J964+0.5*(vit_x+G964)*pas*(K964&gt;=0)</f>
        <v>780.60585379989482</v>
      </c>
      <c r="K965" s="307">
        <f t="shared" ref="K965:K1004" ca="1" si="450">K964+0.5*(vit_z+H964)*pas</f>
        <v>-8.6727969072649955</v>
      </c>
      <c r="L965" s="304">
        <f t="shared" ca="1" si="435"/>
        <v>780.65403117697235</v>
      </c>
      <c r="M965" s="306">
        <f t="shared" ref="M965:M1004" ca="1" si="451">IF(AND(L964&gt;L_rampe,G965&gt;0),ATAN2(G965,H965),$M$4)</f>
        <v>-1.4692014503767674</v>
      </c>
      <c r="N965" s="304">
        <f t="shared" ref="N965:N1004" ca="1" si="452">DEGREES(Beta)</f>
        <v>-84.179042361088023</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8.0499999999999989</v>
      </c>
      <c r="T965" s="304">
        <f t="shared" ca="1" si="436"/>
        <v>78.970499999999987</v>
      </c>
      <c r="U965" s="311">
        <f t="shared" ca="1" si="437"/>
        <v>0</v>
      </c>
      <c r="V965" s="306">
        <f t="shared" ca="1" si="438"/>
        <v>1.2260628785276202</v>
      </c>
      <c r="W965" s="304">
        <f t="shared" ca="1" si="439"/>
        <v>58.370830838139781</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2.5084191115926391</v>
      </c>
      <c r="AH965" s="304">
        <f t="shared" ref="AH965:AH1004" ca="1" si="463">IF(AND(L964&lt;L_rampe,Poussee&lt;Poids*SIN(M964)), g*SIN(M964), (-W964+Poussee)/m)</f>
        <v>-7.2509965690976479</v>
      </c>
    </row>
    <row r="966" spans="1:34" x14ac:dyDescent="0.3">
      <c r="A966" s="347">
        <f t="shared" ca="1" si="441"/>
        <v>1E-4</v>
      </c>
      <c r="B966" s="304">
        <f t="shared" ca="1" si="442"/>
        <v>33.944300000001682</v>
      </c>
      <c r="D966" s="306">
        <f t="shared" ca="1" si="443"/>
        <v>-0.73540139162215368</v>
      </c>
      <c r="E966" s="307">
        <f t="shared" ca="1" si="444"/>
        <v>-2.596353784547679</v>
      </c>
      <c r="F966" s="304">
        <f t="shared" ca="1" si="445"/>
        <v>2.6984936874735981</v>
      </c>
      <c r="G966" s="306">
        <f t="shared" ca="1" si="446"/>
        <v>12.553716912994402</v>
      </c>
      <c r="H966" s="307">
        <f t="shared" ca="1" si="447"/>
        <v>-123.141994235681</v>
      </c>
      <c r="I966" s="304">
        <f t="shared" ca="1" si="448"/>
        <v>123.78023490312214</v>
      </c>
      <c r="J966" s="306">
        <f t="shared" ca="1" si="449"/>
        <v>780.60585379989482</v>
      </c>
      <c r="K966" s="307">
        <f t="shared" ca="1" si="450"/>
        <v>-8.6851110937067943</v>
      </c>
      <c r="L966" s="304">
        <f t="shared" ca="1" si="435"/>
        <v>780.65416808044563</v>
      </c>
      <c r="M966" s="306">
        <f t="shared" ca="1" si="451"/>
        <v>-1.4692022541659508</v>
      </c>
      <c r="N966" s="304">
        <f t="shared" ca="1" si="452"/>
        <v>-84.179088414815851</v>
      </c>
      <c r="P966" s="310">
        <f t="shared" ca="1" si="453"/>
        <v>23</v>
      </c>
      <c r="Q966" s="304">
        <f t="shared" ca="1" si="454"/>
        <v>0</v>
      </c>
      <c r="R966" s="306">
        <f t="shared" ca="1" si="455"/>
        <v>0</v>
      </c>
      <c r="S966" s="307">
        <f t="shared" ca="1" si="456"/>
        <v>8.0499999999999989</v>
      </c>
      <c r="T966" s="304">
        <f t="shared" ca="1" si="436"/>
        <v>78.970499999999987</v>
      </c>
      <c r="U966" s="311">
        <f t="shared" ca="1" si="437"/>
        <v>0</v>
      </c>
      <c r="V966" s="306">
        <f t="shared" ca="1" si="438"/>
        <v>1.2260643883255218</v>
      </c>
      <c r="W966" s="304">
        <f t="shared" ca="1" si="439"/>
        <v>58.371139292807229</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2.5083815936916158</v>
      </c>
      <c r="AH966" s="304">
        <f t="shared" ca="1" si="463"/>
        <v>-7.2510348867254395</v>
      </c>
    </row>
    <row r="967" spans="1:34" x14ac:dyDescent="0.3">
      <c r="A967" s="347">
        <f t="shared" ca="1" si="441"/>
        <v>1E-4</v>
      </c>
      <c r="B967" s="304">
        <f t="shared" ca="1" si="442"/>
        <v>33.944400000001686</v>
      </c>
      <c r="D967" s="306">
        <f t="shared" ca="1" si="443"/>
        <v>-0.73539947949368589</v>
      </c>
      <c r="E967" s="307">
        <f t="shared" ca="1" si="444"/>
        <v>-2.5963150736658056</v>
      </c>
      <c r="F967" s="304">
        <f t="shared" ca="1" si="445"/>
        <v>2.6984559207413157</v>
      </c>
      <c r="G967" s="306">
        <f t="shared" ca="1" si="446"/>
        <v>12.553643373046452</v>
      </c>
      <c r="H967" s="307">
        <f t="shared" ca="1" si="447"/>
        <v>-123.14225386718836</v>
      </c>
      <c r="I967" s="304">
        <f t="shared" ca="1" si="448"/>
        <v>123.78048573756972</v>
      </c>
      <c r="J967" s="306">
        <f t="shared" ca="1" si="449"/>
        <v>780.60585379989482</v>
      </c>
      <c r="K967" s="307">
        <f t="shared" ca="1" si="450"/>
        <v>-8.6974253061119384</v>
      </c>
      <c r="L967" s="304">
        <f t="shared" ca="1" si="435"/>
        <v>780.65430517843049</v>
      </c>
      <c r="M967" s="306">
        <f t="shared" ca="1" si="451"/>
        <v>-1.4692030579471678</v>
      </c>
      <c r="N967" s="304">
        <f t="shared" ca="1" si="452"/>
        <v>-84.179134468087241</v>
      </c>
      <c r="P967" s="310">
        <f t="shared" ca="1" si="453"/>
        <v>23</v>
      </c>
      <c r="Q967" s="304">
        <f t="shared" ca="1" si="454"/>
        <v>0</v>
      </c>
      <c r="R967" s="306">
        <f t="shared" ca="1" si="455"/>
        <v>0</v>
      </c>
      <c r="S967" s="307">
        <f t="shared" ca="1" si="456"/>
        <v>8.0499999999999989</v>
      </c>
      <c r="T967" s="304">
        <f t="shared" ca="1" si="436"/>
        <v>78.970499999999987</v>
      </c>
      <c r="U967" s="311">
        <f t="shared" ca="1" si="437"/>
        <v>0</v>
      </c>
      <c r="V967" s="306">
        <f t="shared" ca="1" si="438"/>
        <v>1.2260658981284667</v>
      </c>
      <c r="W967" s="304">
        <f t="shared" ca="1" si="439"/>
        <v>58.371447745238392</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2.5083440760541622</v>
      </c>
      <c r="AH967" s="304">
        <f t="shared" ca="1" si="463"/>
        <v>-7.2510732040754329</v>
      </c>
    </row>
    <row r="968" spans="1:34" x14ac:dyDescent="0.3">
      <c r="A968" s="347">
        <f t="shared" ca="1" si="441"/>
        <v>1E-4</v>
      </c>
      <c r="B968" s="304">
        <f t="shared" ca="1" si="442"/>
        <v>33.944500000001689</v>
      </c>
      <c r="D968" s="306">
        <f t="shared" ca="1" si="443"/>
        <v>-0.73539756733275663</v>
      </c>
      <c r="E968" s="307">
        <f t="shared" ca="1" si="444"/>
        <v>-2.5962763630645709</v>
      </c>
      <c r="F968" s="304">
        <f t="shared" ca="1" si="445"/>
        <v>2.6984181542983166</v>
      </c>
      <c r="G968" s="306">
        <f t="shared" ca="1" si="446"/>
        <v>12.553569833289718</v>
      </c>
      <c r="H968" s="307">
        <f t="shared" ca="1" si="447"/>
        <v>-123.14251349482467</v>
      </c>
      <c r="I968" s="304">
        <f t="shared" ca="1" si="448"/>
        <v>123.78073656826557</v>
      </c>
      <c r="J968" s="306">
        <f t="shared" ca="1" si="449"/>
        <v>780.60585379989482</v>
      </c>
      <c r="K968" s="307">
        <f t="shared" ca="1" si="450"/>
        <v>-8.7097395444800387</v>
      </c>
      <c r="L968" s="304">
        <f t="shared" ca="1" si="435"/>
        <v>780.65444247092796</v>
      </c>
      <c r="M968" s="306">
        <f t="shared" ca="1" si="451"/>
        <v>-1.4692038617204188</v>
      </c>
      <c r="N968" s="304">
        <f t="shared" ca="1" si="452"/>
        <v>-84.179180520902207</v>
      </c>
      <c r="P968" s="310">
        <f t="shared" ca="1" si="453"/>
        <v>23</v>
      </c>
      <c r="Q968" s="304">
        <f t="shared" ca="1" si="454"/>
        <v>0</v>
      </c>
      <c r="R968" s="306">
        <f t="shared" ca="1" si="455"/>
        <v>0</v>
      </c>
      <c r="S968" s="307">
        <f t="shared" ca="1" si="456"/>
        <v>8.0499999999999989</v>
      </c>
      <c r="T968" s="304">
        <f t="shared" ca="1" si="436"/>
        <v>78.970499999999987</v>
      </c>
      <c r="U968" s="311">
        <f t="shared" ca="1" si="437"/>
        <v>0</v>
      </c>
      <c r="V968" s="306">
        <f t="shared" ca="1" si="438"/>
        <v>1.2260674079364546</v>
      </c>
      <c r="W968" s="304">
        <f t="shared" ca="1" si="439"/>
        <v>58.37175619543325</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2.5083065586802755</v>
      </c>
      <c r="AH968" s="304">
        <f t="shared" ca="1" si="463"/>
        <v>-7.2511115211476271</v>
      </c>
    </row>
    <row r="969" spans="1:34" x14ac:dyDescent="0.3">
      <c r="A969" s="347">
        <f t="shared" ca="1" si="441"/>
        <v>1E-4</v>
      </c>
      <c r="B969" s="304">
        <f t="shared" ca="1" si="442"/>
        <v>33.944600000001692</v>
      </c>
      <c r="D969" s="306">
        <f t="shared" ca="1" si="443"/>
        <v>-0.73539565513936234</v>
      </c>
      <c r="E969" s="307">
        <f t="shared" ca="1" si="444"/>
        <v>-2.5962376527439774</v>
      </c>
      <c r="F969" s="304">
        <f t="shared" ca="1" si="445"/>
        <v>2.6983803881446016</v>
      </c>
      <c r="G969" s="306">
        <f t="shared" ca="1" si="446"/>
        <v>12.553496293724203</v>
      </c>
      <c r="H969" s="307">
        <f t="shared" ca="1" si="447"/>
        <v>-123.14277311858994</v>
      </c>
      <c r="I969" s="304">
        <f t="shared" ca="1" si="448"/>
        <v>123.78098739520972</v>
      </c>
      <c r="J969" s="306">
        <f t="shared" ca="1" si="449"/>
        <v>780.60585379989482</v>
      </c>
      <c r="K969" s="307">
        <f t="shared" ca="1" si="450"/>
        <v>-8.7220538088107098</v>
      </c>
      <c r="L969" s="304">
        <f t="shared" ca="1" si="435"/>
        <v>780.65457995793918</v>
      </c>
      <c r="M969" s="306">
        <f t="shared" ca="1" si="451"/>
        <v>-1.4692046654857036</v>
      </c>
      <c r="N969" s="304">
        <f t="shared" ca="1" si="452"/>
        <v>-84.179226573260749</v>
      </c>
      <c r="P969" s="310">
        <f t="shared" ca="1" si="453"/>
        <v>23</v>
      </c>
      <c r="Q969" s="304">
        <f t="shared" ca="1" si="454"/>
        <v>0</v>
      </c>
      <c r="R969" s="306">
        <f t="shared" ca="1" si="455"/>
        <v>0</v>
      </c>
      <c r="S969" s="307">
        <f t="shared" ca="1" si="456"/>
        <v>8.0499999999999989</v>
      </c>
      <c r="T969" s="304">
        <f t="shared" ca="1" si="436"/>
        <v>78.970499999999987</v>
      </c>
      <c r="U969" s="311">
        <f t="shared" ca="1" si="437"/>
        <v>0</v>
      </c>
      <c r="V969" s="306">
        <f t="shared" ca="1" si="438"/>
        <v>1.2260689177494859</v>
      </c>
      <c r="W969" s="304">
        <f t="shared" ca="1" si="439"/>
        <v>58.372064643391838</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2.508269041569962</v>
      </c>
      <c r="AH969" s="304">
        <f t="shared" ca="1" si="463"/>
        <v>-7.2511498379420196</v>
      </c>
    </row>
    <row r="970" spans="1:34" x14ac:dyDescent="0.3">
      <c r="A970" s="347">
        <f t="shared" ca="1" si="441"/>
        <v>1E-4</v>
      </c>
      <c r="B970" s="304">
        <f t="shared" ca="1" si="442"/>
        <v>33.944700000001696</v>
      </c>
      <c r="D970" s="306">
        <f t="shared" ca="1" si="443"/>
        <v>-0.73539374291350856</v>
      </c>
      <c r="E970" s="307">
        <f t="shared" ca="1" si="444"/>
        <v>-2.5961989427040209</v>
      </c>
      <c r="F970" s="304">
        <f t="shared" ca="1" si="445"/>
        <v>2.6983426222801685</v>
      </c>
      <c r="G970" s="306">
        <f t="shared" ca="1" si="446"/>
        <v>12.553422754349912</v>
      </c>
      <c r="H970" s="307">
        <f t="shared" ca="1" si="447"/>
        <v>-123.14303273848421</v>
      </c>
      <c r="I970" s="304">
        <f t="shared" ca="1" si="448"/>
        <v>123.78123821840217</v>
      </c>
      <c r="J970" s="306">
        <f t="shared" ca="1" si="449"/>
        <v>780.60585379989482</v>
      </c>
      <c r="K970" s="307">
        <f t="shared" ca="1" si="450"/>
        <v>-8.7343680991035644</v>
      </c>
      <c r="L970" s="304">
        <f t="shared" ca="1" si="435"/>
        <v>780.65471763946528</v>
      </c>
      <c r="M970" s="306">
        <f t="shared" ca="1" si="451"/>
        <v>-1.4692054692430225</v>
      </c>
      <c r="N970" s="304">
        <f t="shared" ca="1" si="452"/>
        <v>-84.179272625162866</v>
      </c>
      <c r="P970" s="310">
        <f t="shared" ca="1" si="453"/>
        <v>23</v>
      </c>
      <c r="Q970" s="304">
        <f t="shared" ca="1" si="454"/>
        <v>0</v>
      </c>
      <c r="R970" s="306">
        <f t="shared" ca="1" si="455"/>
        <v>0</v>
      </c>
      <c r="S970" s="307">
        <f t="shared" ca="1" si="456"/>
        <v>8.0499999999999989</v>
      </c>
      <c r="T970" s="304">
        <f t="shared" ca="1" si="436"/>
        <v>78.970499999999987</v>
      </c>
      <c r="U970" s="311">
        <f t="shared" ca="1" si="437"/>
        <v>0</v>
      </c>
      <c r="V970" s="306">
        <f t="shared" ca="1" si="438"/>
        <v>1.22607042756756</v>
      </c>
      <c r="W970" s="304">
        <f t="shared" ca="1" si="439"/>
        <v>58.372373089114063</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2.5082315247232119</v>
      </c>
      <c r="AH970" s="304">
        <f t="shared" ca="1" si="463"/>
        <v>-7.2511881544586148</v>
      </c>
    </row>
    <row r="971" spans="1:34" x14ac:dyDescent="0.3">
      <c r="A971" s="347">
        <f t="shared" ca="1" si="441"/>
        <v>1E-4</v>
      </c>
      <c r="B971" s="304">
        <f t="shared" ca="1" si="442"/>
        <v>33.944800000001699</v>
      </c>
      <c r="D971" s="306">
        <f t="shared" ca="1" si="443"/>
        <v>-0.7353918306551922</v>
      </c>
      <c r="E971" s="307">
        <f t="shared" ca="1" si="444"/>
        <v>-2.5961602329447135</v>
      </c>
      <c r="F971" s="304">
        <f t="shared" ca="1" si="445"/>
        <v>2.6983048567050285</v>
      </c>
      <c r="G971" s="306">
        <f t="shared" ca="1" si="446"/>
        <v>12.553349215166847</v>
      </c>
      <c r="H971" s="307">
        <f t="shared" ca="1" si="447"/>
        <v>-123.14329235450751</v>
      </c>
      <c r="I971" s="304">
        <f t="shared" ca="1" si="448"/>
        <v>123.78148903784296</v>
      </c>
      <c r="J971" s="306">
        <f t="shared" ca="1" si="449"/>
        <v>780.60585379989482</v>
      </c>
      <c r="K971" s="307">
        <f t="shared" ca="1" si="450"/>
        <v>-8.7466824153582134</v>
      </c>
      <c r="L971" s="304">
        <f t="shared" ca="1" si="435"/>
        <v>780.65485551550751</v>
      </c>
      <c r="M971" s="306">
        <f t="shared" ca="1" si="451"/>
        <v>-1.4692062729923758</v>
      </c>
      <c r="N971" s="304">
        <f t="shared" ca="1" si="452"/>
        <v>-84.179318676608602</v>
      </c>
      <c r="P971" s="310">
        <f t="shared" ca="1" si="453"/>
        <v>23</v>
      </c>
      <c r="Q971" s="304">
        <f t="shared" ca="1" si="454"/>
        <v>0</v>
      </c>
      <c r="R971" s="306">
        <f t="shared" ca="1" si="455"/>
        <v>0</v>
      </c>
      <c r="S971" s="307">
        <f t="shared" ca="1" si="456"/>
        <v>8.0499999999999989</v>
      </c>
      <c r="T971" s="304">
        <f t="shared" ca="1" si="436"/>
        <v>78.970499999999987</v>
      </c>
      <c r="U971" s="311">
        <f t="shared" ca="1" si="437"/>
        <v>0</v>
      </c>
      <c r="V971" s="306">
        <f t="shared" ca="1" si="438"/>
        <v>1.2260719373906779</v>
      </c>
      <c r="W971" s="304">
        <f t="shared" ca="1" si="439"/>
        <v>58.372681532600012</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2.5081940081400411</v>
      </c>
      <c r="AH971" s="304">
        <f t="shared" ca="1" si="463"/>
        <v>-7.2512264706974001</v>
      </c>
    </row>
    <row r="972" spans="1:34" x14ac:dyDescent="0.3">
      <c r="A972" s="347">
        <f t="shared" ca="1" si="441"/>
        <v>1E-4</v>
      </c>
      <c r="B972" s="304">
        <f t="shared" ca="1" si="442"/>
        <v>33.944900000001702</v>
      </c>
      <c r="D972" s="306">
        <f t="shared" ca="1" si="443"/>
        <v>-0.73538991836441447</v>
      </c>
      <c r="E972" s="307">
        <f t="shared" ca="1" si="444"/>
        <v>-2.5961215234660431</v>
      </c>
      <c r="F972" s="304">
        <f t="shared" ca="1" si="445"/>
        <v>2.6982670914191704</v>
      </c>
      <c r="G972" s="306">
        <f t="shared" ca="1" si="446"/>
        <v>12.55327567617501</v>
      </c>
      <c r="H972" s="307">
        <f t="shared" ca="1" si="447"/>
        <v>-123.14355196665986</v>
      </c>
      <c r="I972" s="304">
        <f t="shared" ca="1" si="448"/>
        <v>123.78173985353212</v>
      </c>
      <c r="J972" s="306">
        <f t="shared" ca="1" si="449"/>
        <v>780.60585379989482</v>
      </c>
      <c r="K972" s="307">
        <f t="shared" ca="1" si="450"/>
        <v>-8.7589967575742715</v>
      </c>
      <c r="L972" s="304">
        <f t="shared" ca="1" si="435"/>
        <v>780.65499358606678</v>
      </c>
      <c r="M972" s="306">
        <f t="shared" ca="1" si="451"/>
        <v>-1.4692070767337633</v>
      </c>
      <c r="N972" s="304">
        <f t="shared" ca="1" si="452"/>
        <v>-84.179364727597928</v>
      </c>
      <c r="P972" s="310">
        <f t="shared" ca="1" si="453"/>
        <v>23</v>
      </c>
      <c r="Q972" s="304">
        <f t="shared" ca="1" si="454"/>
        <v>0</v>
      </c>
      <c r="R972" s="306">
        <f t="shared" ca="1" si="455"/>
        <v>0</v>
      </c>
      <c r="S972" s="307">
        <f t="shared" ca="1" si="456"/>
        <v>8.0499999999999989</v>
      </c>
      <c r="T972" s="304">
        <f t="shared" ca="1" si="436"/>
        <v>78.970499999999987</v>
      </c>
      <c r="U972" s="311">
        <f t="shared" ca="1" si="437"/>
        <v>0</v>
      </c>
      <c r="V972" s="306">
        <f t="shared" ca="1" si="438"/>
        <v>1.2260734472188384</v>
      </c>
      <c r="W972" s="304">
        <f t="shared" ca="1" si="439"/>
        <v>58.372989973849613</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2.5081564918204418</v>
      </c>
      <c r="AH972" s="304">
        <f t="shared" ca="1" si="463"/>
        <v>-7.2512647866583873</v>
      </c>
    </row>
    <row r="973" spans="1:34" x14ac:dyDescent="0.3">
      <c r="A973" s="347">
        <f t="shared" ca="1" si="441"/>
        <v>1E-4</v>
      </c>
      <c r="B973" s="304">
        <f t="shared" ca="1" si="442"/>
        <v>33.945000000001706</v>
      </c>
      <c r="D973" s="306">
        <f t="shared" ca="1" si="443"/>
        <v>-0.73538800604117771</v>
      </c>
      <c r="E973" s="307">
        <f t="shared" ca="1" si="444"/>
        <v>-2.5960828142680192</v>
      </c>
      <c r="F973" s="304">
        <f t="shared" ca="1" si="445"/>
        <v>2.6982293264226036</v>
      </c>
      <c r="G973" s="306">
        <f t="shared" ca="1" si="446"/>
        <v>12.553202137374406</v>
      </c>
      <c r="H973" s="307">
        <f t="shared" ca="1" si="447"/>
        <v>-123.14381157494128</v>
      </c>
      <c r="I973" s="304">
        <f t="shared" ca="1" si="448"/>
        <v>123.78199066546969</v>
      </c>
      <c r="J973" s="306">
        <f t="shared" ca="1" si="449"/>
        <v>780.60585379989482</v>
      </c>
      <c r="K973" s="307">
        <f t="shared" ca="1" si="450"/>
        <v>-8.7713111257513514</v>
      </c>
      <c r="L973" s="304">
        <f t="shared" ca="1" si="435"/>
        <v>780.65513185114423</v>
      </c>
      <c r="M973" s="306">
        <f t="shared" ca="1" si="451"/>
        <v>-1.4692078804671851</v>
      </c>
      <c r="N973" s="304">
        <f t="shared" ca="1" si="452"/>
        <v>-84.179410778130844</v>
      </c>
      <c r="P973" s="310">
        <f t="shared" ca="1" si="453"/>
        <v>23</v>
      </c>
      <c r="Q973" s="304">
        <f t="shared" ca="1" si="454"/>
        <v>0</v>
      </c>
      <c r="R973" s="306">
        <f t="shared" ca="1" si="455"/>
        <v>0</v>
      </c>
      <c r="S973" s="307">
        <f t="shared" ca="1" si="456"/>
        <v>8.0499999999999989</v>
      </c>
      <c r="T973" s="304">
        <f t="shared" ca="1" si="436"/>
        <v>78.970499999999987</v>
      </c>
      <c r="U973" s="311">
        <f t="shared" ca="1" si="437"/>
        <v>0</v>
      </c>
      <c r="V973" s="306">
        <f t="shared" ca="1" si="438"/>
        <v>1.2260749570520422</v>
      </c>
      <c r="W973" s="304">
        <f t="shared" ca="1" si="439"/>
        <v>58.37329841286293</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2.5081189757644182</v>
      </c>
      <c r="AH973" s="304">
        <f t="shared" ca="1" si="463"/>
        <v>-7.2513031023415682</v>
      </c>
    </row>
    <row r="974" spans="1:34" x14ac:dyDescent="0.3">
      <c r="A974" s="347">
        <f t="shared" ca="1" si="441"/>
        <v>1E-4</v>
      </c>
      <c r="B974" s="304">
        <f t="shared" ca="1" si="442"/>
        <v>33.945100000001709</v>
      </c>
      <c r="D974" s="306">
        <f t="shared" ca="1" si="443"/>
        <v>-0.73538609368548269</v>
      </c>
      <c r="E974" s="307">
        <f t="shared" ca="1" si="444"/>
        <v>-2.596044105350634</v>
      </c>
      <c r="F974" s="304">
        <f t="shared" ca="1" si="445"/>
        <v>2.6981915617153218</v>
      </c>
      <c r="G974" s="306">
        <f t="shared" ca="1" si="446"/>
        <v>12.553128598765037</v>
      </c>
      <c r="H974" s="307">
        <f t="shared" ca="1" si="447"/>
        <v>-123.14407117935181</v>
      </c>
      <c r="I974" s="304">
        <f t="shared" ca="1" si="448"/>
        <v>123.78224147365565</v>
      </c>
      <c r="J974" s="306">
        <f t="shared" ca="1" si="449"/>
        <v>780.60585379989482</v>
      </c>
      <c r="K974" s="307">
        <f t="shared" ca="1" si="450"/>
        <v>-8.7836255198890658</v>
      </c>
      <c r="L974" s="304">
        <f t="shared" ca="1" si="435"/>
        <v>780.65527031074123</v>
      </c>
      <c r="M974" s="306">
        <f t="shared" ca="1" si="451"/>
        <v>-1.4692086841926417</v>
      </c>
      <c r="N974" s="304">
        <f t="shared" ca="1" si="452"/>
        <v>-84.179456828207393</v>
      </c>
      <c r="P974" s="310">
        <f t="shared" ca="1" si="453"/>
        <v>23</v>
      </c>
      <c r="Q974" s="304">
        <f t="shared" ca="1" si="454"/>
        <v>0</v>
      </c>
      <c r="R974" s="306">
        <f t="shared" ca="1" si="455"/>
        <v>0</v>
      </c>
      <c r="S974" s="307">
        <f t="shared" ca="1" si="456"/>
        <v>8.0499999999999989</v>
      </c>
      <c r="T974" s="304">
        <f t="shared" ca="1" si="436"/>
        <v>78.970499999999987</v>
      </c>
      <c r="U974" s="311">
        <f t="shared" ca="1" si="437"/>
        <v>0</v>
      </c>
      <c r="V974" s="306">
        <f t="shared" ca="1" si="438"/>
        <v>1.2260764668902888</v>
      </c>
      <c r="W974" s="304">
        <f t="shared" ca="1" si="439"/>
        <v>58.373606849639863</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2.5080814599719661</v>
      </c>
      <c r="AH974" s="304">
        <f t="shared" ca="1" si="463"/>
        <v>-7.2513414177469491</v>
      </c>
    </row>
    <row r="975" spans="1:34" x14ac:dyDescent="0.3">
      <c r="A975" s="347">
        <f t="shared" ca="1" si="441"/>
        <v>1E-4</v>
      </c>
      <c r="B975" s="304">
        <f t="shared" ca="1" si="442"/>
        <v>33.945200000001712</v>
      </c>
      <c r="D975" s="306">
        <f t="shared" ca="1" si="443"/>
        <v>-0.73538418129732641</v>
      </c>
      <c r="E975" s="307">
        <f t="shared" ca="1" si="444"/>
        <v>-2.5960053967138998</v>
      </c>
      <c r="F975" s="304">
        <f t="shared" ca="1" si="445"/>
        <v>2.6981537972973357</v>
      </c>
      <c r="G975" s="306">
        <f t="shared" ca="1" si="446"/>
        <v>12.553055060346907</v>
      </c>
      <c r="H975" s="307">
        <f t="shared" ca="1" si="447"/>
        <v>-123.14433077989149</v>
      </c>
      <c r="I975" s="304">
        <f t="shared" ca="1" si="448"/>
        <v>123.78249227809009</v>
      </c>
      <c r="J975" s="306">
        <f t="shared" ca="1" si="449"/>
        <v>780.60585379989482</v>
      </c>
      <c r="K975" s="307">
        <f t="shared" ca="1" si="450"/>
        <v>-8.7959399399870275</v>
      </c>
      <c r="L975" s="304">
        <f t="shared" ca="1" si="435"/>
        <v>780.65540896485857</v>
      </c>
      <c r="M975" s="306">
        <f t="shared" ca="1" si="451"/>
        <v>-1.4692094879101327</v>
      </c>
      <c r="N975" s="304">
        <f t="shared" ca="1" si="452"/>
        <v>-84.179502877827559</v>
      </c>
      <c r="P975" s="310">
        <f t="shared" ca="1" si="453"/>
        <v>23</v>
      </c>
      <c r="Q975" s="304">
        <f t="shared" ca="1" si="454"/>
        <v>0</v>
      </c>
      <c r="R975" s="306">
        <f t="shared" ca="1" si="455"/>
        <v>0</v>
      </c>
      <c r="S975" s="307">
        <f t="shared" ca="1" si="456"/>
        <v>8.0499999999999989</v>
      </c>
      <c r="T975" s="304">
        <f t="shared" ca="1" si="436"/>
        <v>78.970499999999987</v>
      </c>
      <c r="U975" s="311">
        <f t="shared" ca="1" si="437"/>
        <v>0</v>
      </c>
      <c r="V975" s="306">
        <f t="shared" ca="1" si="438"/>
        <v>1.2260779767335788</v>
      </c>
      <c r="W975" s="304">
        <f t="shared" ca="1" si="439"/>
        <v>58.373915284180505</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2.5080439444430951</v>
      </c>
      <c r="AH975" s="304">
        <f t="shared" ca="1" si="463"/>
        <v>-7.2513797328745184</v>
      </c>
    </row>
    <row r="976" spans="1:34" x14ac:dyDescent="0.3">
      <c r="A976" s="347">
        <f t="shared" ca="1" si="441"/>
        <v>1E-4</v>
      </c>
      <c r="B976" s="304">
        <f t="shared" ca="1" si="442"/>
        <v>33.945300000001716</v>
      </c>
      <c r="D976" s="306">
        <f t="shared" ca="1" si="443"/>
        <v>-0.73538226887671487</v>
      </c>
      <c r="E976" s="307">
        <f t="shared" ca="1" si="444"/>
        <v>-2.5959666883578061</v>
      </c>
      <c r="F976" s="304">
        <f t="shared" ca="1" si="445"/>
        <v>2.6981160331686365</v>
      </c>
      <c r="G976" s="306">
        <f t="shared" ca="1" si="446"/>
        <v>12.552981522120019</v>
      </c>
      <c r="H976" s="307">
        <f t="shared" ca="1" si="447"/>
        <v>-123.14459037656033</v>
      </c>
      <c r="I976" s="304">
        <f t="shared" ca="1" si="448"/>
        <v>123.782743078773</v>
      </c>
      <c r="J976" s="306">
        <f t="shared" ca="1" si="449"/>
        <v>780.60585379989482</v>
      </c>
      <c r="K976" s="307">
        <f t="shared" ca="1" si="450"/>
        <v>-8.8082543860448492</v>
      </c>
      <c r="L976" s="304">
        <f t="shared" ca="1" si="435"/>
        <v>780.65554781349761</v>
      </c>
      <c r="M976" s="306">
        <f t="shared" ca="1" si="451"/>
        <v>-1.4692102916196588</v>
      </c>
      <c r="N976" s="304">
        <f t="shared" ca="1" si="452"/>
        <v>-84.179548926991345</v>
      </c>
      <c r="P976" s="310">
        <f t="shared" ca="1" si="453"/>
        <v>23</v>
      </c>
      <c r="Q976" s="304">
        <f t="shared" ca="1" si="454"/>
        <v>0</v>
      </c>
      <c r="R976" s="306">
        <f t="shared" ca="1" si="455"/>
        <v>0</v>
      </c>
      <c r="S976" s="307">
        <f t="shared" ca="1" si="456"/>
        <v>8.0499999999999989</v>
      </c>
      <c r="T976" s="304">
        <f t="shared" ca="1" si="436"/>
        <v>78.970499999999987</v>
      </c>
      <c r="U976" s="311">
        <f t="shared" ca="1" si="437"/>
        <v>0</v>
      </c>
      <c r="V976" s="306">
        <f t="shared" ca="1" si="438"/>
        <v>1.2260794865819113</v>
      </c>
      <c r="W976" s="304">
        <f t="shared" ca="1" si="439"/>
        <v>58.374223716484778</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2.5080064291777964</v>
      </c>
      <c r="AH976" s="304">
        <f t="shared" ca="1" si="463"/>
        <v>-7.2514180477242869</v>
      </c>
    </row>
    <row r="977" spans="1:34" x14ac:dyDescent="0.3">
      <c r="A977" s="347">
        <f t="shared" ca="1" si="441"/>
        <v>1E-4</v>
      </c>
      <c r="B977" s="304">
        <f t="shared" ca="1" si="442"/>
        <v>33.945400000001719</v>
      </c>
      <c r="D977" s="306">
        <f t="shared" ca="1" si="443"/>
        <v>-0.73538035642364397</v>
      </c>
      <c r="E977" s="307">
        <f t="shared" ca="1" si="444"/>
        <v>-2.5959279802823607</v>
      </c>
      <c r="F977" s="304">
        <f t="shared" ca="1" si="445"/>
        <v>2.6980782693292316</v>
      </c>
      <c r="G977" s="306">
        <f t="shared" ca="1" si="446"/>
        <v>12.552907984084376</v>
      </c>
      <c r="H977" s="307">
        <f t="shared" ca="1" si="447"/>
        <v>-123.14484996935836</v>
      </c>
      <c r="I977" s="304">
        <f t="shared" ca="1" si="448"/>
        <v>123.78299387570439</v>
      </c>
      <c r="J977" s="306">
        <f t="shared" ca="1" si="449"/>
        <v>780.60585379989482</v>
      </c>
      <c r="K977" s="307">
        <f t="shared" ca="1" si="450"/>
        <v>-8.8205688580621455</v>
      </c>
      <c r="L977" s="304">
        <f t="shared" ca="1" si="435"/>
        <v>780.65568685665937</v>
      </c>
      <c r="M977" s="306">
        <f t="shared" ca="1" si="451"/>
        <v>-1.4692110953212196</v>
      </c>
      <c r="N977" s="304">
        <f t="shared" ca="1" si="452"/>
        <v>-84.179594975698777</v>
      </c>
      <c r="P977" s="310">
        <f t="shared" ca="1" si="453"/>
        <v>23</v>
      </c>
      <c r="Q977" s="304">
        <f t="shared" ca="1" si="454"/>
        <v>0</v>
      </c>
      <c r="R977" s="306">
        <f t="shared" ca="1" si="455"/>
        <v>0</v>
      </c>
      <c r="S977" s="307">
        <f t="shared" ca="1" si="456"/>
        <v>8.0499999999999989</v>
      </c>
      <c r="T977" s="304">
        <f t="shared" ca="1" si="436"/>
        <v>78.970499999999987</v>
      </c>
      <c r="U977" s="311">
        <f t="shared" ca="1" si="437"/>
        <v>0</v>
      </c>
      <c r="V977" s="306">
        <f t="shared" ca="1" si="438"/>
        <v>1.2260809964352875</v>
      </c>
      <c r="W977" s="304">
        <f t="shared" ca="1" si="439"/>
        <v>58.37453214655271</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2.5079689141760779</v>
      </c>
      <c r="AH977" s="304">
        <f t="shared" ca="1" si="463"/>
        <v>-7.2514563622962465</v>
      </c>
    </row>
    <row r="978" spans="1:34" x14ac:dyDescent="0.3">
      <c r="A978" s="347">
        <f t="shared" ca="1" si="441"/>
        <v>1E-4</v>
      </c>
      <c r="B978" s="304">
        <f t="shared" ca="1" si="442"/>
        <v>33.945500000001722</v>
      </c>
      <c r="D978" s="306">
        <f t="shared" ca="1" si="443"/>
        <v>-0.73537844393811735</v>
      </c>
      <c r="E978" s="307">
        <f t="shared" ca="1" si="444"/>
        <v>-2.5958892724875611</v>
      </c>
      <c r="F978" s="304">
        <f t="shared" ca="1" si="445"/>
        <v>2.6980405057791192</v>
      </c>
      <c r="G978" s="306">
        <f t="shared" ca="1" si="446"/>
        <v>12.552834446239983</v>
      </c>
      <c r="H978" s="307">
        <f t="shared" ca="1" si="447"/>
        <v>-123.14510955828561</v>
      </c>
      <c r="I978" s="304">
        <f t="shared" ca="1" si="448"/>
        <v>123.78324466888431</v>
      </c>
      <c r="J978" s="306">
        <f t="shared" ca="1" si="449"/>
        <v>780.60585379989482</v>
      </c>
      <c r="K978" s="307">
        <f t="shared" ca="1" si="450"/>
        <v>-8.8328833560385274</v>
      </c>
      <c r="L978" s="304">
        <f t="shared" ca="1" si="435"/>
        <v>780.65582609434489</v>
      </c>
      <c r="M978" s="306">
        <f t="shared" ca="1" si="451"/>
        <v>-1.4692118990148155</v>
      </c>
      <c r="N978" s="304">
        <f t="shared" ca="1" si="452"/>
        <v>-84.179641023949841</v>
      </c>
      <c r="P978" s="310">
        <f t="shared" ca="1" si="453"/>
        <v>23</v>
      </c>
      <c r="Q978" s="304">
        <f t="shared" ca="1" si="454"/>
        <v>0</v>
      </c>
      <c r="R978" s="306">
        <f t="shared" ca="1" si="455"/>
        <v>0</v>
      </c>
      <c r="S978" s="307">
        <f t="shared" ca="1" si="456"/>
        <v>8.0499999999999989</v>
      </c>
      <c r="T978" s="304">
        <f t="shared" ca="1" si="436"/>
        <v>78.970499999999987</v>
      </c>
      <c r="U978" s="311">
        <f t="shared" ca="1" si="437"/>
        <v>0</v>
      </c>
      <c r="V978" s="306">
        <f t="shared" ca="1" si="438"/>
        <v>1.226082506293706</v>
      </c>
      <c r="W978" s="304">
        <f t="shared" ca="1" si="439"/>
        <v>58.374840574384251</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2.5079313994379389</v>
      </c>
      <c r="AH978" s="304">
        <f t="shared" ca="1" si="463"/>
        <v>-7.2514946765903998</v>
      </c>
    </row>
    <row r="979" spans="1:34" x14ac:dyDescent="0.3">
      <c r="A979" s="347">
        <f t="shared" ca="1" si="441"/>
        <v>1E-4</v>
      </c>
      <c r="B979" s="304">
        <f t="shared" ca="1" si="442"/>
        <v>33.945600000001726</v>
      </c>
      <c r="D979" s="306">
        <f t="shared" ca="1" si="443"/>
        <v>-0.73537653142013404</v>
      </c>
      <c r="E979" s="307">
        <f t="shared" ca="1" si="444"/>
        <v>-2.5958505649734134</v>
      </c>
      <c r="F979" s="304">
        <f t="shared" ca="1" si="445"/>
        <v>2.6980027425183053</v>
      </c>
      <c r="G979" s="306">
        <f t="shared" ca="1" si="446"/>
        <v>12.552760908586841</v>
      </c>
      <c r="H979" s="307">
        <f t="shared" ca="1" si="447"/>
        <v>-123.14536914334211</v>
      </c>
      <c r="I979" s="304">
        <f t="shared" ca="1" si="448"/>
        <v>123.78349545831279</v>
      </c>
      <c r="J979" s="306">
        <f t="shared" ca="1" si="449"/>
        <v>780.60585379989482</v>
      </c>
      <c r="K979" s="307">
        <f t="shared" ca="1" si="450"/>
        <v>-8.8451978799736093</v>
      </c>
      <c r="L979" s="304">
        <f t="shared" ca="1" si="435"/>
        <v>780.65596552655552</v>
      </c>
      <c r="M979" s="306">
        <f t="shared" ca="1" si="451"/>
        <v>-1.4692127027004467</v>
      </c>
      <c r="N979" s="304">
        <f t="shared" ca="1" si="452"/>
        <v>-84.179687071744567</v>
      </c>
      <c r="P979" s="310">
        <f t="shared" ca="1" si="453"/>
        <v>23</v>
      </c>
      <c r="Q979" s="304">
        <f t="shared" ca="1" si="454"/>
        <v>0</v>
      </c>
      <c r="R979" s="306">
        <f t="shared" ca="1" si="455"/>
        <v>0</v>
      </c>
      <c r="S979" s="307">
        <f t="shared" ca="1" si="456"/>
        <v>8.0499999999999989</v>
      </c>
      <c r="T979" s="304">
        <f t="shared" ca="1" si="436"/>
        <v>78.970499999999987</v>
      </c>
      <c r="U979" s="311">
        <f t="shared" ca="1" si="437"/>
        <v>0</v>
      </c>
      <c r="V979" s="306">
        <f t="shared" ca="1" si="438"/>
        <v>1.2260840161571678</v>
      </c>
      <c r="W979" s="304">
        <f t="shared" ca="1" si="439"/>
        <v>58.375148999979452</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2.5078938849633845</v>
      </c>
      <c r="AH979" s="304">
        <f t="shared" ca="1" si="463"/>
        <v>-7.2515329906067398</v>
      </c>
    </row>
    <row r="980" spans="1:34" x14ac:dyDescent="0.3">
      <c r="A980" s="347">
        <f t="shared" ca="1" si="441"/>
        <v>1E-4</v>
      </c>
      <c r="B980" s="304">
        <f t="shared" ca="1" si="442"/>
        <v>33.945700000001729</v>
      </c>
      <c r="D980" s="306">
        <f t="shared" ca="1" si="443"/>
        <v>-0.73537461886969491</v>
      </c>
      <c r="E980" s="307">
        <f t="shared" ca="1" si="444"/>
        <v>-2.5958118577399114</v>
      </c>
      <c r="F980" s="304">
        <f t="shared" ca="1" si="445"/>
        <v>2.6979649795467839</v>
      </c>
      <c r="G980" s="306">
        <f t="shared" ca="1" si="446"/>
        <v>12.552687371124954</v>
      </c>
      <c r="H980" s="307">
        <f t="shared" ca="1" si="447"/>
        <v>-123.14562872452788</v>
      </c>
      <c r="I980" s="304">
        <f t="shared" ca="1" si="448"/>
        <v>123.78374624398982</v>
      </c>
      <c r="J980" s="306">
        <f t="shared" ca="1" si="449"/>
        <v>780.60585379989482</v>
      </c>
      <c r="K980" s="307">
        <f t="shared" ca="1" si="450"/>
        <v>-8.8575124298670023</v>
      </c>
      <c r="L980" s="304">
        <f t="shared" ca="1" si="435"/>
        <v>780.65610515329217</v>
      </c>
      <c r="M980" s="306">
        <f t="shared" ca="1" si="451"/>
        <v>-1.4692135063781129</v>
      </c>
      <c r="N980" s="304">
        <f t="shared" ca="1" si="452"/>
        <v>-84.179733119082925</v>
      </c>
      <c r="P980" s="310">
        <f t="shared" ca="1" si="453"/>
        <v>23</v>
      </c>
      <c r="Q980" s="304">
        <f t="shared" ca="1" si="454"/>
        <v>0</v>
      </c>
      <c r="R980" s="306">
        <f t="shared" ca="1" si="455"/>
        <v>0</v>
      </c>
      <c r="S980" s="307">
        <f t="shared" ca="1" si="456"/>
        <v>8.0499999999999989</v>
      </c>
      <c r="T980" s="304">
        <f t="shared" ca="1" si="436"/>
        <v>78.970499999999987</v>
      </c>
      <c r="U980" s="311">
        <f t="shared" ca="1" si="437"/>
        <v>0</v>
      </c>
      <c r="V980" s="306">
        <f t="shared" ca="1" si="438"/>
        <v>1.226085526025672</v>
      </c>
      <c r="W980" s="304">
        <f t="shared" ca="1" si="439"/>
        <v>58.375457423338247</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2.5078563707524086</v>
      </c>
      <c r="AH980" s="304">
        <f t="shared" ca="1" si="463"/>
        <v>-7.2515713043452745</v>
      </c>
    </row>
    <row r="981" spans="1:34" x14ac:dyDescent="0.3">
      <c r="A981" s="347">
        <f t="shared" ca="1" si="441"/>
        <v>1E-4</v>
      </c>
      <c r="B981" s="304">
        <f t="shared" ca="1" si="442"/>
        <v>33.945800000001732</v>
      </c>
      <c r="D981" s="306">
        <f t="shared" ca="1" si="443"/>
        <v>-0.73537270628680218</v>
      </c>
      <c r="E981" s="307">
        <f t="shared" ca="1" si="444"/>
        <v>-2.5957731507870632</v>
      </c>
      <c r="F981" s="304">
        <f t="shared" ca="1" si="445"/>
        <v>2.6979272168645645</v>
      </c>
      <c r="G981" s="306">
        <f t="shared" ca="1" si="446"/>
        <v>12.552613833854325</v>
      </c>
      <c r="H981" s="307">
        <f t="shared" ca="1" si="447"/>
        <v>-123.14588830184296</v>
      </c>
      <c r="I981" s="304">
        <f t="shared" ca="1" si="448"/>
        <v>123.78399702591548</v>
      </c>
      <c r="J981" s="306">
        <f t="shared" ca="1" si="449"/>
        <v>780.60585379989482</v>
      </c>
      <c r="K981" s="307">
        <f t="shared" ca="1" si="450"/>
        <v>-8.8698270057183208</v>
      </c>
      <c r="L981" s="304">
        <f t="shared" ca="1" si="435"/>
        <v>780.6562449745561</v>
      </c>
      <c r="M981" s="306">
        <f t="shared" ca="1" si="451"/>
        <v>-1.4692143100478146</v>
      </c>
      <c r="N981" s="304">
        <f t="shared" ca="1" si="452"/>
        <v>-84.179779165964959</v>
      </c>
      <c r="P981" s="310">
        <f t="shared" ca="1" si="453"/>
        <v>23</v>
      </c>
      <c r="Q981" s="304">
        <f t="shared" ca="1" si="454"/>
        <v>0</v>
      </c>
      <c r="R981" s="306">
        <f t="shared" ca="1" si="455"/>
        <v>0</v>
      </c>
      <c r="S981" s="307">
        <f t="shared" ca="1" si="456"/>
        <v>8.0499999999999989</v>
      </c>
      <c r="T981" s="304">
        <f t="shared" ca="1" si="436"/>
        <v>78.970499999999987</v>
      </c>
      <c r="U981" s="311">
        <f t="shared" ca="1" si="437"/>
        <v>0</v>
      </c>
      <c r="V981" s="306">
        <f t="shared" ca="1" si="438"/>
        <v>1.2260870358992193</v>
      </c>
      <c r="W981" s="304">
        <f t="shared" ca="1" si="439"/>
        <v>58.375765844460695</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2.5078188568050193</v>
      </c>
      <c r="AH981" s="304">
        <f t="shared" ca="1" si="463"/>
        <v>-7.2516096178059941</v>
      </c>
    </row>
    <row r="982" spans="1:34" x14ac:dyDescent="0.3">
      <c r="A982" s="347">
        <f t="shared" ca="1" si="441"/>
        <v>1E-4</v>
      </c>
      <c r="B982" s="304">
        <f t="shared" ca="1" si="442"/>
        <v>33.945900000001735</v>
      </c>
      <c r="D982" s="306">
        <f t="shared" ca="1" si="443"/>
        <v>-0.73537079367145519</v>
      </c>
      <c r="E982" s="307">
        <f t="shared" ca="1" si="444"/>
        <v>-2.5957344441148615</v>
      </c>
      <c r="F982" s="304">
        <f t="shared" ca="1" si="445"/>
        <v>2.6978894544716385</v>
      </c>
      <c r="G982" s="306">
        <f t="shared" ca="1" si="446"/>
        <v>12.552540296774959</v>
      </c>
      <c r="H982" s="307">
        <f t="shared" ca="1" si="447"/>
        <v>-123.14614787528737</v>
      </c>
      <c r="I982" s="304">
        <f t="shared" ca="1" si="448"/>
        <v>123.78424780408977</v>
      </c>
      <c r="J982" s="306">
        <f t="shared" ca="1" si="449"/>
        <v>780.60585379989482</v>
      </c>
      <c r="K982" s="307">
        <f t="shared" ca="1" si="450"/>
        <v>-8.8821416075271777</v>
      </c>
      <c r="L982" s="304">
        <f t="shared" ca="1" si="435"/>
        <v>780.65638499034833</v>
      </c>
      <c r="M982" s="306">
        <f t="shared" ca="1" si="451"/>
        <v>-1.4692151137095519</v>
      </c>
      <c r="N982" s="304">
        <f t="shared" ca="1" si="452"/>
        <v>-84.179825212390668</v>
      </c>
      <c r="P982" s="310">
        <f t="shared" ca="1" si="453"/>
        <v>23</v>
      </c>
      <c r="Q982" s="304">
        <f t="shared" ca="1" si="454"/>
        <v>0</v>
      </c>
      <c r="R982" s="306">
        <f t="shared" ca="1" si="455"/>
        <v>0</v>
      </c>
      <c r="S982" s="307">
        <f t="shared" ca="1" si="456"/>
        <v>8.0499999999999989</v>
      </c>
      <c r="T982" s="304">
        <f t="shared" ca="1" si="436"/>
        <v>78.970499999999987</v>
      </c>
      <c r="U982" s="311">
        <f t="shared" ca="1" si="437"/>
        <v>0</v>
      </c>
      <c r="V982" s="306">
        <f t="shared" ca="1" si="438"/>
        <v>1.2260885457778092</v>
      </c>
      <c r="W982" s="304">
        <f t="shared" ca="1" si="439"/>
        <v>58.376074263346737</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2.507781343121211</v>
      </c>
      <c r="AH982" s="304">
        <f t="shared" ca="1" si="463"/>
        <v>-7.2516479309889075</v>
      </c>
    </row>
    <row r="983" spans="1:34" x14ac:dyDescent="0.3">
      <c r="A983" s="347">
        <f t="shared" ca="1" si="441"/>
        <v>1E-4</v>
      </c>
      <c r="B983" s="304">
        <f t="shared" ca="1" si="442"/>
        <v>33.946000000001739</v>
      </c>
      <c r="D983" s="306">
        <f t="shared" ca="1" si="443"/>
        <v>-0.73536888102365294</v>
      </c>
      <c r="E983" s="307">
        <f t="shared" ca="1" si="444"/>
        <v>-2.5956957377233127</v>
      </c>
      <c r="F983" s="304">
        <f t="shared" ca="1" si="445"/>
        <v>2.6978516923680131</v>
      </c>
      <c r="G983" s="306">
        <f t="shared" ca="1" si="446"/>
        <v>12.552466759886856</v>
      </c>
      <c r="H983" s="307">
        <f t="shared" ca="1" si="447"/>
        <v>-123.14640744486114</v>
      </c>
      <c r="I983" s="304">
        <f t="shared" ca="1" si="448"/>
        <v>123.78449857851271</v>
      </c>
      <c r="J983" s="306">
        <f t="shared" ca="1" si="449"/>
        <v>780.60585379989482</v>
      </c>
      <c r="K983" s="307">
        <f t="shared" ca="1" si="450"/>
        <v>-8.8944562352931857</v>
      </c>
      <c r="L983" s="304">
        <f t="shared" ca="1" si="435"/>
        <v>780.65652520066999</v>
      </c>
      <c r="M983" s="306">
        <f t="shared" ca="1" si="451"/>
        <v>-1.4692159173633248</v>
      </c>
      <c r="N983" s="304">
        <f t="shared" ca="1" si="452"/>
        <v>-84.179871258360038</v>
      </c>
      <c r="P983" s="310">
        <f t="shared" ca="1" si="453"/>
        <v>23</v>
      </c>
      <c r="Q983" s="304">
        <f t="shared" ca="1" si="454"/>
        <v>0</v>
      </c>
      <c r="R983" s="306">
        <f t="shared" ca="1" si="455"/>
        <v>0</v>
      </c>
      <c r="S983" s="307">
        <f t="shared" ca="1" si="456"/>
        <v>8.0499999999999989</v>
      </c>
      <c r="T983" s="304">
        <f t="shared" ca="1" si="436"/>
        <v>78.970499999999987</v>
      </c>
      <c r="U983" s="311">
        <f t="shared" ca="1" si="437"/>
        <v>0</v>
      </c>
      <c r="V983" s="306">
        <f t="shared" ca="1" si="438"/>
        <v>1.226090055661442</v>
      </c>
      <c r="W983" s="304">
        <f t="shared" ca="1" si="439"/>
        <v>58.376382679996389</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2.5077438297009911</v>
      </c>
      <c r="AH983" s="304">
        <f t="shared" ca="1" si="463"/>
        <v>-7.2516862438940057</v>
      </c>
    </row>
    <row r="984" spans="1:34" x14ac:dyDescent="0.3">
      <c r="A984" s="347">
        <f t="shared" ca="1" si="441"/>
        <v>1E-4</v>
      </c>
      <c r="B984" s="304">
        <f t="shared" ca="1" si="442"/>
        <v>33.946100000001742</v>
      </c>
      <c r="D984" s="306">
        <f t="shared" ca="1" si="443"/>
        <v>-0.73536696834339899</v>
      </c>
      <c r="E984" s="307">
        <f t="shared" ca="1" si="444"/>
        <v>-2.5956570316124177</v>
      </c>
      <c r="F984" s="304">
        <f t="shared" ca="1" si="445"/>
        <v>2.6978139305536897</v>
      </c>
      <c r="G984" s="306">
        <f t="shared" ca="1" si="446"/>
        <v>12.552393223190021</v>
      </c>
      <c r="H984" s="307">
        <f t="shared" ca="1" si="447"/>
        <v>-123.1466670105643</v>
      </c>
      <c r="I984" s="304">
        <f t="shared" ca="1" si="448"/>
        <v>123.78474934918434</v>
      </c>
      <c r="J984" s="306">
        <f t="shared" ca="1" si="449"/>
        <v>780.60585379989482</v>
      </c>
      <c r="K984" s="307">
        <f t="shared" ca="1" si="450"/>
        <v>-8.9067708890159576</v>
      </c>
      <c r="L984" s="304">
        <f t="shared" ca="1" si="435"/>
        <v>780.65666560552222</v>
      </c>
      <c r="M984" s="306">
        <f t="shared" ca="1" si="451"/>
        <v>-1.4692167210091334</v>
      </c>
      <c r="N984" s="304">
        <f t="shared" ca="1" si="452"/>
        <v>-84.179917303873097</v>
      </c>
      <c r="P984" s="310">
        <f t="shared" ca="1" si="453"/>
        <v>23</v>
      </c>
      <c r="Q984" s="304">
        <f t="shared" ca="1" si="454"/>
        <v>0</v>
      </c>
      <c r="R984" s="306">
        <f t="shared" ca="1" si="455"/>
        <v>0</v>
      </c>
      <c r="S984" s="307">
        <f t="shared" ca="1" si="456"/>
        <v>8.0499999999999989</v>
      </c>
      <c r="T984" s="304">
        <f t="shared" ca="1" si="436"/>
        <v>78.970499999999987</v>
      </c>
      <c r="U984" s="311">
        <f t="shared" ca="1" si="437"/>
        <v>0</v>
      </c>
      <c r="V984" s="306">
        <f t="shared" ca="1" si="438"/>
        <v>1.2260915655501177</v>
      </c>
      <c r="W984" s="304">
        <f t="shared" ca="1" si="439"/>
        <v>58.376691094409644</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2.5077063165443567</v>
      </c>
      <c r="AH984" s="304">
        <f t="shared" ca="1" si="463"/>
        <v>-7.2517245565212916</v>
      </c>
    </row>
    <row r="985" spans="1:34" x14ac:dyDescent="0.3">
      <c r="A985" s="347">
        <f t="shared" ca="1" si="441"/>
        <v>1E-4</v>
      </c>
      <c r="B985" s="304">
        <f t="shared" ca="1" si="442"/>
        <v>33.946200000001745</v>
      </c>
      <c r="D985" s="306">
        <f t="shared" ca="1" si="443"/>
        <v>-0.73536505563069299</v>
      </c>
      <c r="E985" s="307">
        <f t="shared" ca="1" si="444"/>
        <v>-2.5956183257821746</v>
      </c>
      <c r="F985" s="304">
        <f t="shared" ca="1" si="445"/>
        <v>2.6977761690286672</v>
      </c>
      <c r="G985" s="306">
        <f t="shared" ca="1" si="446"/>
        <v>12.552319686684459</v>
      </c>
      <c r="H985" s="307">
        <f t="shared" ca="1" si="447"/>
        <v>-123.14692657239688</v>
      </c>
      <c r="I985" s="304">
        <f t="shared" ca="1" si="448"/>
        <v>123.78500011610467</v>
      </c>
      <c r="J985" s="306">
        <f t="shared" ca="1" si="449"/>
        <v>780.60585379989482</v>
      </c>
      <c r="K985" s="307">
        <f t="shared" ca="1" si="450"/>
        <v>-8.919085568695106</v>
      </c>
      <c r="L985" s="304">
        <f t="shared" ca="1" si="435"/>
        <v>780.65680620490616</v>
      </c>
      <c r="M985" s="306">
        <f t="shared" ca="1" si="451"/>
        <v>-1.4692175246469776</v>
      </c>
      <c r="N985" s="304">
        <f t="shared" ca="1" si="452"/>
        <v>-84.179963348929817</v>
      </c>
      <c r="P985" s="310">
        <f t="shared" ca="1" si="453"/>
        <v>23</v>
      </c>
      <c r="Q985" s="304">
        <f t="shared" ca="1" si="454"/>
        <v>0</v>
      </c>
      <c r="R985" s="306">
        <f t="shared" ca="1" si="455"/>
        <v>0</v>
      </c>
      <c r="S985" s="307">
        <f t="shared" ca="1" si="456"/>
        <v>8.0499999999999989</v>
      </c>
      <c r="T985" s="304">
        <f t="shared" ca="1" si="436"/>
        <v>78.970499999999987</v>
      </c>
      <c r="U985" s="311">
        <f t="shared" ca="1" si="437"/>
        <v>0</v>
      </c>
      <c r="V985" s="306">
        <f t="shared" ca="1" si="438"/>
        <v>1.2260930754438359</v>
      </c>
      <c r="W985" s="304">
        <f t="shared" ca="1" si="439"/>
        <v>58.376999506586493</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2.5076688036513088</v>
      </c>
      <c r="AH985" s="304">
        <f t="shared" ca="1" si="463"/>
        <v>-7.251762868870764</v>
      </c>
    </row>
    <row r="986" spans="1:34" x14ac:dyDescent="0.3">
      <c r="A986" s="347">
        <f t="shared" ca="1" si="441"/>
        <v>1E-4</v>
      </c>
      <c r="B986" s="304">
        <f t="shared" ca="1" si="442"/>
        <v>33.946300000001749</v>
      </c>
      <c r="D986" s="306">
        <f t="shared" ca="1" si="443"/>
        <v>-0.73536314288553672</v>
      </c>
      <c r="E986" s="307">
        <f t="shared" ca="1" si="444"/>
        <v>-2.5955796202325851</v>
      </c>
      <c r="F986" s="304">
        <f t="shared" ca="1" si="445"/>
        <v>2.6977384077929472</v>
      </c>
      <c r="G986" s="306">
        <f t="shared" ca="1" si="446"/>
        <v>12.55224615037017</v>
      </c>
      <c r="H986" s="307">
        <f t="shared" ca="1" si="447"/>
        <v>-123.1471861303589</v>
      </c>
      <c r="I986" s="304">
        <f t="shared" ca="1" si="448"/>
        <v>123.78525087927375</v>
      </c>
      <c r="J986" s="306">
        <f t="shared" ca="1" si="449"/>
        <v>780.60585379989482</v>
      </c>
      <c r="K986" s="307">
        <f t="shared" ca="1" si="450"/>
        <v>-8.9314002743302439</v>
      </c>
      <c r="L986" s="304">
        <f t="shared" ca="1" si="435"/>
        <v>780.65694699882295</v>
      </c>
      <c r="M986" s="306">
        <f t="shared" ca="1" si="451"/>
        <v>-1.4692183282768583</v>
      </c>
      <c r="N986" s="304">
        <f t="shared" ca="1" si="452"/>
        <v>-84.18000939353027</v>
      </c>
      <c r="P986" s="310">
        <f t="shared" ca="1" si="453"/>
        <v>23</v>
      </c>
      <c r="Q986" s="304">
        <f t="shared" ca="1" si="454"/>
        <v>0</v>
      </c>
      <c r="R986" s="306">
        <f t="shared" ca="1" si="455"/>
        <v>0</v>
      </c>
      <c r="S986" s="307">
        <f t="shared" ca="1" si="456"/>
        <v>8.0499999999999989</v>
      </c>
      <c r="T986" s="304">
        <f t="shared" ca="1" si="436"/>
        <v>78.970499999999987</v>
      </c>
      <c r="U986" s="311">
        <f t="shared" ca="1" si="437"/>
        <v>0</v>
      </c>
      <c r="V986" s="306">
        <f t="shared" ca="1" si="438"/>
        <v>1.2260945853425971</v>
      </c>
      <c r="W986" s="304">
        <f t="shared" ca="1" si="439"/>
        <v>58.377307916526945</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2.5076312910218519</v>
      </c>
      <c r="AH986" s="304">
        <f t="shared" ca="1" si="463"/>
        <v>-7.2518011809424223</v>
      </c>
    </row>
    <row r="987" spans="1:34" x14ac:dyDescent="0.3">
      <c r="A987" s="347">
        <f t="shared" ca="1" si="441"/>
        <v>1E-4</v>
      </c>
      <c r="B987" s="304">
        <f t="shared" ca="1" si="442"/>
        <v>33.946400000001752</v>
      </c>
      <c r="D987" s="306">
        <f t="shared" ca="1" si="443"/>
        <v>-0.73536123010792709</v>
      </c>
      <c r="E987" s="307">
        <f t="shared" ca="1" si="444"/>
        <v>-2.5955409149636486</v>
      </c>
      <c r="F987" s="304">
        <f t="shared" ca="1" si="445"/>
        <v>2.6977006468465285</v>
      </c>
      <c r="G987" s="306">
        <f t="shared" ca="1" si="446"/>
        <v>12.552172614247159</v>
      </c>
      <c r="H987" s="307">
        <f t="shared" ca="1" si="447"/>
        <v>-123.1474456844504</v>
      </c>
      <c r="I987" s="304">
        <f t="shared" ca="1" si="448"/>
        <v>123.78550163869158</v>
      </c>
      <c r="J987" s="306">
        <f t="shared" ca="1" si="449"/>
        <v>780.60585379989482</v>
      </c>
      <c r="K987" s="307">
        <f t="shared" ca="1" si="450"/>
        <v>-8.9437150059209838</v>
      </c>
      <c r="L987" s="304">
        <f t="shared" ca="1" si="435"/>
        <v>780.6570879872736</v>
      </c>
      <c r="M987" s="306">
        <f t="shared" ca="1" si="451"/>
        <v>-1.4692191318987748</v>
      </c>
      <c r="N987" s="304">
        <f t="shared" ca="1" si="452"/>
        <v>-84.180055437674426</v>
      </c>
      <c r="P987" s="310">
        <f t="shared" ca="1" si="453"/>
        <v>23</v>
      </c>
      <c r="Q987" s="304">
        <f t="shared" ca="1" si="454"/>
        <v>0</v>
      </c>
      <c r="R987" s="306">
        <f t="shared" ca="1" si="455"/>
        <v>0</v>
      </c>
      <c r="S987" s="307">
        <f t="shared" ca="1" si="456"/>
        <v>8.0499999999999989</v>
      </c>
      <c r="T987" s="304">
        <f t="shared" ca="1" si="436"/>
        <v>78.970499999999987</v>
      </c>
      <c r="U987" s="311">
        <f t="shared" ca="1" si="437"/>
        <v>0</v>
      </c>
      <c r="V987" s="306">
        <f t="shared" ca="1" si="438"/>
        <v>1.2260960952464004</v>
      </c>
      <c r="W987" s="304">
        <f t="shared" ca="1" si="439"/>
        <v>58.377616324230949</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2.5075937786559814</v>
      </c>
      <c r="AH987" s="304">
        <f t="shared" ca="1" si="463"/>
        <v>-7.2518394927362673</v>
      </c>
    </row>
    <row r="988" spans="1:34" x14ac:dyDescent="0.3">
      <c r="A988" s="347">
        <f t="shared" ca="1" si="441"/>
        <v>1E-4</v>
      </c>
      <c r="B988" s="304">
        <f t="shared" ca="1" si="442"/>
        <v>33.946500000001755</v>
      </c>
      <c r="D988" s="306">
        <f t="shared" ca="1" si="443"/>
        <v>-0.73535931729786796</v>
      </c>
      <c r="E988" s="307">
        <f t="shared" ca="1" si="444"/>
        <v>-2.5955022099753702</v>
      </c>
      <c r="F988" s="304">
        <f t="shared" ca="1" si="445"/>
        <v>2.6976628861894172</v>
      </c>
      <c r="G988" s="306">
        <f t="shared" ca="1" si="446"/>
        <v>12.552099078315429</v>
      </c>
      <c r="H988" s="307">
        <f t="shared" ca="1" si="447"/>
        <v>-123.14770523467141</v>
      </c>
      <c r="I988" s="304">
        <f t="shared" ca="1" si="448"/>
        <v>123.78575239435823</v>
      </c>
      <c r="J988" s="306">
        <f t="shared" ca="1" si="449"/>
        <v>780.60585379989482</v>
      </c>
      <c r="K988" s="307">
        <f t="shared" ca="1" si="450"/>
        <v>-8.9560297634669404</v>
      </c>
      <c r="L988" s="304">
        <f t="shared" ca="1" si="435"/>
        <v>780.65722917025937</v>
      </c>
      <c r="M988" s="306">
        <f t="shared" ca="1" si="451"/>
        <v>-1.4692199355127276</v>
      </c>
      <c r="N988" s="304">
        <f t="shared" ca="1" si="452"/>
        <v>-84.180101481362271</v>
      </c>
      <c r="P988" s="310">
        <f t="shared" ca="1" si="453"/>
        <v>23</v>
      </c>
      <c r="Q988" s="304">
        <f t="shared" ca="1" si="454"/>
        <v>0</v>
      </c>
      <c r="R988" s="306">
        <f t="shared" ca="1" si="455"/>
        <v>0</v>
      </c>
      <c r="S988" s="307">
        <f t="shared" ca="1" si="456"/>
        <v>8.0499999999999989</v>
      </c>
      <c r="T988" s="304">
        <f t="shared" ca="1" si="436"/>
        <v>78.970499999999987</v>
      </c>
      <c r="U988" s="311">
        <f t="shared" ca="1" si="437"/>
        <v>0</v>
      </c>
      <c r="V988" s="306">
        <f t="shared" ca="1" si="438"/>
        <v>1.2260976051552468</v>
      </c>
      <c r="W988" s="304">
        <f t="shared" ca="1" si="439"/>
        <v>58.37792472969857</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2.5075562665537054</v>
      </c>
      <c r="AH988" s="304">
        <f t="shared" ca="1" si="463"/>
        <v>-7.2518778042522927</v>
      </c>
    </row>
    <row r="989" spans="1:34" x14ac:dyDescent="0.3">
      <c r="A989" s="347">
        <f t="shared" ca="1" si="441"/>
        <v>1E-4</v>
      </c>
      <c r="B989" s="304">
        <f t="shared" ca="1" si="442"/>
        <v>33.946600000001759</v>
      </c>
      <c r="D989" s="306">
        <f t="shared" ca="1" si="443"/>
        <v>-0.73535740445536024</v>
      </c>
      <c r="E989" s="307">
        <f t="shared" ca="1" si="444"/>
        <v>-2.5954635052677437</v>
      </c>
      <c r="F989" s="304">
        <f t="shared" ca="1" si="445"/>
        <v>2.6976251258216082</v>
      </c>
      <c r="G989" s="306">
        <f t="shared" ca="1" si="446"/>
        <v>12.552025542574983</v>
      </c>
      <c r="H989" s="307">
        <f t="shared" ca="1" si="447"/>
        <v>-123.14796478102193</v>
      </c>
      <c r="I989" s="304">
        <f t="shared" ca="1" si="448"/>
        <v>123.78600314627366</v>
      </c>
      <c r="J989" s="306">
        <f t="shared" ca="1" si="449"/>
        <v>780.60585379989482</v>
      </c>
      <c r="K989" s="307">
        <f t="shared" ca="1" si="450"/>
        <v>-8.9683445469677245</v>
      </c>
      <c r="L989" s="304">
        <f t="shared" ca="1" si="435"/>
        <v>780.65737054778128</v>
      </c>
      <c r="M989" s="306">
        <f t="shared" ca="1" si="451"/>
        <v>-1.4692207391187166</v>
      </c>
      <c r="N989" s="304">
        <f t="shared" ca="1" si="452"/>
        <v>-84.180147524593835</v>
      </c>
      <c r="P989" s="310">
        <f t="shared" ca="1" si="453"/>
        <v>23</v>
      </c>
      <c r="Q989" s="304">
        <f t="shared" ca="1" si="454"/>
        <v>0</v>
      </c>
      <c r="R989" s="306">
        <f t="shared" ca="1" si="455"/>
        <v>0</v>
      </c>
      <c r="S989" s="307">
        <f t="shared" ca="1" si="456"/>
        <v>8.0499999999999989</v>
      </c>
      <c r="T989" s="304">
        <f t="shared" ca="1" si="436"/>
        <v>78.970499999999987</v>
      </c>
      <c r="U989" s="311">
        <f t="shared" ca="1" si="437"/>
        <v>0</v>
      </c>
      <c r="V989" s="306">
        <f t="shared" ca="1" si="438"/>
        <v>1.2260991150691354</v>
      </c>
      <c r="W989" s="304">
        <f t="shared" ca="1" si="439"/>
        <v>58.378233132929715</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2.507518754715016</v>
      </c>
      <c r="AH989" s="304">
        <f t="shared" ca="1" si="463"/>
        <v>-7.2519161154905065</v>
      </c>
    </row>
    <row r="990" spans="1:34" x14ac:dyDescent="0.3">
      <c r="A990" s="347">
        <f t="shared" ca="1" si="441"/>
        <v>1E-4</v>
      </c>
      <c r="B990" s="304">
        <f t="shared" ca="1" si="442"/>
        <v>33.946700000001762</v>
      </c>
      <c r="D990" s="306">
        <f t="shared" ca="1" si="443"/>
        <v>-0.73535549158040281</v>
      </c>
      <c r="E990" s="307">
        <f t="shared" ca="1" si="444"/>
        <v>-2.5954248008407799</v>
      </c>
      <c r="F990" s="304">
        <f t="shared" ca="1" si="445"/>
        <v>2.6975873657431113</v>
      </c>
      <c r="G990" s="306">
        <f t="shared" ca="1" si="446"/>
        <v>12.551952007025825</v>
      </c>
      <c r="H990" s="307">
        <f t="shared" ca="1" si="447"/>
        <v>-123.14822432350201</v>
      </c>
      <c r="I990" s="304">
        <f t="shared" ca="1" si="448"/>
        <v>123.78625389443793</v>
      </c>
      <c r="J990" s="306">
        <f t="shared" ca="1" si="449"/>
        <v>780.60585379989482</v>
      </c>
      <c r="K990" s="307">
        <f t="shared" ca="1" si="450"/>
        <v>-8.9806593564229509</v>
      </c>
      <c r="L990" s="304">
        <f t="shared" ca="1" si="435"/>
        <v>780.65751211984048</v>
      </c>
      <c r="M990" s="306">
        <f t="shared" ca="1" si="451"/>
        <v>-1.4692215427167421</v>
      </c>
      <c r="N990" s="304">
        <f t="shared" ca="1" si="452"/>
        <v>-84.180193567369116</v>
      </c>
      <c r="P990" s="310">
        <f t="shared" ca="1" si="453"/>
        <v>23</v>
      </c>
      <c r="Q990" s="304">
        <f t="shared" ca="1" si="454"/>
        <v>0</v>
      </c>
      <c r="R990" s="306">
        <f t="shared" ca="1" si="455"/>
        <v>0</v>
      </c>
      <c r="S990" s="307">
        <f t="shared" ca="1" si="456"/>
        <v>8.0499999999999989</v>
      </c>
      <c r="T990" s="304">
        <f t="shared" ca="1" si="436"/>
        <v>78.970499999999987</v>
      </c>
      <c r="U990" s="311">
        <f t="shared" ca="1" si="437"/>
        <v>0</v>
      </c>
      <c r="V990" s="306">
        <f t="shared" ca="1" si="438"/>
        <v>1.2261006249880668</v>
      </c>
      <c r="W990" s="304">
        <f t="shared" ca="1" si="439"/>
        <v>58.378541533924441</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2.5074812431399263</v>
      </c>
      <c r="AH990" s="304">
        <f t="shared" ca="1" si="463"/>
        <v>-7.2519544264508973</v>
      </c>
    </row>
    <row r="991" spans="1:34" x14ac:dyDescent="0.3">
      <c r="A991" s="347">
        <f t="shared" ca="1" si="441"/>
        <v>1E-4</v>
      </c>
      <c r="B991" s="304">
        <f t="shared" ca="1" si="442"/>
        <v>33.946800000001765</v>
      </c>
      <c r="D991" s="306">
        <f t="shared" ca="1" si="443"/>
        <v>-0.73535357867299811</v>
      </c>
      <c r="E991" s="307">
        <f t="shared" ca="1" si="444"/>
        <v>-2.5953860966944715</v>
      </c>
      <c r="F991" s="304">
        <f t="shared" ca="1" si="445"/>
        <v>2.6975496059539199</v>
      </c>
      <c r="G991" s="306">
        <f t="shared" ca="1" si="446"/>
        <v>12.551878471667958</v>
      </c>
      <c r="H991" s="307">
        <f t="shared" ca="1" si="447"/>
        <v>-123.14848386211168</v>
      </c>
      <c r="I991" s="304">
        <f t="shared" ca="1" si="448"/>
        <v>123.78650463885108</v>
      </c>
      <c r="J991" s="306">
        <f t="shared" ca="1" si="449"/>
        <v>780.60585379989482</v>
      </c>
      <c r="K991" s="307">
        <f t="shared" ca="1" si="450"/>
        <v>-8.9929741918322321</v>
      </c>
      <c r="L991" s="304">
        <f t="shared" ca="1" si="435"/>
        <v>780.65765388643797</v>
      </c>
      <c r="M991" s="306">
        <f t="shared" ca="1" si="451"/>
        <v>-1.4692223463068044</v>
      </c>
      <c r="N991" s="304">
        <f t="shared" ca="1" si="452"/>
        <v>-84.180239609688144</v>
      </c>
      <c r="P991" s="310">
        <f t="shared" ca="1" si="453"/>
        <v>23</v>
      </c>
      <c r="Q991" s="304">
        <f t="shared" ca="1" si="454"/>
        <v>0</v>
      </c>
      <c r="R991" s="306">
        <f t="shared" ca="1" si="455"/>
        <v>0</v>
      </c>
      <c r="S991" s="307">
        <f t="shared" ca="1" si="456"/>
        <v>8.0499999999999989</v>
      </c>
      <c r="T991" s="304">
        <f t="shared" ca="1" si="436"/>
        <v>78.970499999999987</v>
      </c>
      <c r="U991" s="311">
        <f t="shared" ca="1" si="437"/>
        <v>0</v>
      </c>
      <c r="V991" s="306">
        <f t="shared" ca="1" si="438"/>
        <v>1.2261021349120405</v>
      </c>
      <c r="W991" s="304">
        <f t="shared" ca="1" si="439"/>
        <v>58.378849932682712</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2.5074437318284293</v>
      </c>
      <c r="AH991" s="304">
        <f t="shared" ca="1" si="463"/>
        <v>-7.251992737133472</v>
      </c>
    </row>
    <row r="992" spans="1:34" x14ac:dyDescent="0.3">
      <c r="A992" s="347">
        <f t="shared" ca="1" si="441"/>
        <v>1E-4</v>
      </c>
      <c r="B992" s="304">
        <f t="shared" ca="1" si="442"/>
        <v>33.946900000001769</v>
      </c>
      <c r="D992" s="306">
        <f t="shared" ca="1" si="443"/>
        <v>-0.73535166573314381</v>
      </c>
      <c r="E992" s="307">
        <f t="shared" ca="1" si="444"/>
        <v>-2.5953473928288231</v>
      </c>
      <c r="F992" s="304">
        <f t="shared" ca="1" si="445"/>
        <v>2.6975118464540389</v>
      </c>
      <c r="G992" s="306">
        <f t="shared" ca="1" si="446"/>
        <v>12.551804936501386</v>
      </c>
      <c r="H992" s="307">
        <f t="shared" ca="1" si="447"/>
        <v>-123.14874339685096</v>
      </c>
      <c r="I992" s="304">
        <f t="shared" ca="1" si="448"/>
        <v>123.78675537951312</v>
      </c>
      <c r="J992" s="306">
        <f t="shared" ca="1" si="449"/>
        <v>780.60585379989482</v>
      </c>
      <c r="K992" s="307">
        <f t="shared" ca="1" si="450"/>
        <v>-9.005289053195181</v>
      </c>
      <c r="L992" s="304">
        <f t="shared" ca="1" si="435"/>
        <v>780.65779584757513</v>
      </c>
      <c r="M992" s="306">
        <f t="shared" ca="1" si="451"/>
        <v>-1.4692231498889032</v>
      </c>
      <c r="N992" s="304">
        <f t="shared" ca="1" si="452"/>
        <v>-84.180285651550903</v>
      </c>
      <c r="P992" s="310">
        <f t="shared" ca="1" si="453"/>
        <v>23</v>
      </c>
      <c r="Q992" s="304">
        <f t="shared" ca="1" si="454"/>
        <v>0</v>
      </c>
      <c r="R992" s="306">
        <f t="shared" ca="1" si="455"/>
        <v>0</v>
      </c>
      <c r="S992" s="307">
        <f t="shared" ca="1" si="456"/>
        <v>8.0499999999999989</v>
      </c>
      <c r="T992" s="304">
        <f t="shared" ca="1" si="436"/>
        <v>78.970499999999987</v>
      </c>
      <c r="U992" s="311">
        <f t="shared" ca="1" si="437"/>
        <v>0</v>
      </c>
      <c r="V992" s="306">
        <f t="shared" ca="1" si="438"/>
        <v>1.2261036448410567</v>
      </c>
      <c r="W992" s="304">
        <f t="shared" ca="1" si="439"/>
        <v>58.379158329204529</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2.5074062207805277</v>
      </c>
      <c r="AH992" s="304">
        <f t="shared" ca="1" si="463"/>
        <v>-7.2520310475382264</v>
      </c>
    </row>
    <row r="993" spans="1:34" x14ac:dyDescent="0.3">
      <c r="A993" s="347">
        <f t="shared" ca="1" si="441"/>
        <v>1E-4</v>
      </c>
      <c r="B993" s="304">
        <f t="shared" ca="1" si="442"/>
        <v>33.947000000001772</v>
      </c>
      <c r="D993" s="306">
        <f t="shared" ca="1" si="443"/>
        <v>-0.73534975276084302</v>
      </c>
      <c r="E993" s="307">
        <f t="shared" ca="1" si="444"/>
        <v>-2.5953086892438337</v>
      </c>
      <c r="F993" s="304">
        <f t="shared" ca="1" si="445"/>
        <v>2.6974740872434677</v>
      </c>
      <c r="G993" s="306">
        <f t="shared" ca="1" si="446"/>
        <v>12.551731401526109</v>
      </c>
      <c r="H993" s="307">
        <f t="shared" ca="1" si="447"/>
        <v>-123.14900292771989</v>
      </c>
      <c r="I993" s="304">
        <f t="shared" ca="1" si="448"/>
        <v>123.78700611642411</v>
      </c>
      <c r="J993" s="306">
        <f t="shared" ca="1" si="449"/>
        <v>780.60585379989482</v>
      </c>
      <c r="K993" s="307">
        <f t="shared" ca="1" si="450"/>
        <v>-9.0176039405114103</v>
      </c>
      <c r="L993" s="304">
        <f t="shared" ca="1" si="435"/>
        <v>780.65793800325287</v>
      </c>
      <c r="M993" s="306">
        <f t="shared" ca="1" si="451"/>
        <v>-1.4692239534630389</v>
      </c>
      <c r="N993" s="304">
        <f t="shared" ca="1" si="452"/>
        <v>-84.180331692957395</v>
      </c>
      <c r="P993" s="310">
        <f t="shared" ca="1" si="453"/>
        <v>23</v>
      </c>
      <c r="Q993" s="304">
        <f t="shared" ca="1" si="454"/>
        <v>0</v>
      </c>
      <c r="R993" s="306">
        <f t="shared" ca="1" si="455"/>
        <v>0</v>
      </c>
      <c r="S993" s="307">
        <f t="shared" ca="1" si="456"/>
        <v>8.0499999999999989</v>
      </c>
      <c r="T993" s="304">
        <f t="shared" ca="1" si="436"/>
        <v>78.970499999999987</v>
      </c>
      <c r="U993" s="311">
        <f t="shared" ca="1" si="437"/>
        <v>0</v>
      </c>
      <c r="V993" s="306">
        <f t="shared" ca="1" si="438"/>
        <v>1.2261051547751156</v>
      </c>
      <c r="W993" s="304">
        <f t="shared" ca="1" si="439"/>
        <v>58.379466723489912</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2.5073687099962232</v>
      </c>
      <c r="AH993" s="304">
        <f t="shared" ca="1" si="463"/>
        <v>-7.2520693576651603</v>
      </c>
    </row>
    <row r="994" spans="1:34" x14ac:dyDescent="0.3">
      <c r="A994" s="347">
        <f t="shared" ca="1" si="441"/>
        <v>1E-4</v>
      </c>
      <c r="B994" s="304">
        <f t="shared" ca="1" si="442"/>
        <v>33.947100000001775</v>
      </c>
      <c r="D994" s="306">
        <f t="shared" ca="1" si="443"/>
        <v>-0.73534783975609641</v>
      </c>
      <c r="E994" s="307">
        <f t="shared" ca="1" si="444"/>
        <v>-2.5952699859395034</v>
      </c>
      <c r="F994" s="304">
        <f t="shared" ca="1" si="445"/>
        <v>2.6974363283222065</v>
      </c>
      <c r="G994" s="306">
        <f t="shared" ca="1" si="446"/>
        <v>12.551657866742133</v>
      </c>
      <c r="H994" s="307">
        <f t="shared" ca="1" si="447"/>
        <v>-123.14926245471848</v>
      </c>
      <c r="I994" s="304">
        <f t="shared" ca="1" si="448"/>
        <v>123.78725684958401</v>
      </c>
      <c r="J994" s="306">
        <f t="shared" ca="1" si="449"/>
        <v>780.60585379989482</v>
      </c>
      <c r="K994" s="307">
        <f t="shared" ca="1" si="450"/>
        <v>-9.0299188537805328</v>
      </c>
      <c r="L994" s="304">
        <f t="shared" ca="1" si="435"/>
        <v>780.65808035347243</v>
      </c>
      <c r="M994" s="306">
        <f t="shared" ca="1" si="451"/>
        <v>-1.4692247570292114</v>
      </c>
      <c r="N994" s="304">
        <f t="shared" ca="1" si="452"/>
        <v>-84.180377733907648</v>
      </c>
      <c r="P994" s="310">
        <f t="shared" ca="1" si="453"/>
        <v>23</v>
      </c>
      <c r="Q994" s="304">
        <f t="shared" ca="1" si="454"/>
        <v>0</v>
      </c>
      <c r="R994" s="306">
        <f t="shared" ca="1" si="455"/>
        <v>0</v>
      </c>
      <c r="S994" s="307">
        <f t="shared" ca="1" si="456"/>
        <v>8.0499999999999989</v>
      </c>
      <c r="T994" s="304">
        <f t="shared" ca="1" si="436"/>
        <v>78.970499999999987</v>
      </c>
      <c r="U994" s="311">
        <f t="shared" ca="1" si="437"/>
        <v>0</v>
      </c>
      <c r="V994" s="306">
        <f t="shared" ca="1" si="438"/>
        <v>1.2261066647142165</v>
      </c>
      <c r="W994" s="304">
        <f t="shared" ca="1" si="439"/>
        <v>58.379775115538806</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2.5073311994755123</v>
      </c>
      <c r="AH994" s="304">
        <f t="shared" ca="1" si="463"/>
        <v>-7.2521076675142755</v>
      </c>
    </row>
    <row r="995" spans="1:34" x14ac:dyDescent="0.3">
      <c r="A995" s="347">
        <f t="shared" ca="1" si="441"/>
        <v>1E-4</v>
      </c>
      <c r="B995" s="304">
        <f t="shared" ca="1" si="442"/>
        <v>33.947200000001779</v>
      </c>
      <c r="D995" s="306">
        <f t="shared" ca="1" si="443"/>
        <v>-0.73534592671890453</v>
      </c>
      <c r="E995" s="307">
        <f t="shared" ca="1" si="444"/>
        <v>-2.5952312829158357</v>
      </c>
      <c r="F995" s="304">
        <f t="shared" ca="1" si="445"/>
        <v>2.69739856969026</v>
      </c>
      <c r="G995" s="306">
        <f t="shared" ca="1" si="446"/>
        <v>12.551584332149462</v>
      </c>
      <c r="H995" s="307">
        <f t="shared" ca="1" si="447"/>
        <v>-123.14952197784677</v>
      </c>
      <c r="I995" s="304">
        <f t="shared" ca="1" si="448"/>
        <v>123.7875075789929</v>
      </c>
      <c r="J995" s="306">
        <f t="shared" ca="1" si="449"/>
        <v>780.60585379989482</v>
      </c>
      <c r="K995" s="307">
        <f t="shared" ca="1" si="450"/>
        <v>-9.0422337930021612</v>
      </c>
      <c r="L995" s="304">
        <f t="shared" ca="1" si="435"/>
        <v>780.65822289823484</v>
      </c>
      <c r="M995" s="306">
        <f t="shared" ca="1" si="451"/>
        <v>-1.4692255605874212</v>
      </c>
      <c r="N995" s="304">
        <f t="shared" ca="1" si="452"/>
        <v>-84.18042377440166</v>
      </c>
      <c r="P995" s="310">
        <f t="shared" ca="1" si="453"/>
        <v>23</v>
      </c>
      <c r="Q995" s="304">
        <f t="shared" ca="1" si="454"/>
        <v>0</v>
      </c>
      <c r="R995" s="306">
        <f t="shared" ca="1" si="455"/>
        <v>0</v>
      </c>
      <c r="S995" s="307">
        <f t="shared" ca="1" si="456"/>
        <v>8.0499999999999989</v>
      </c>
      <c r="T995" s="304">
        <f t="shared" ca="1" si="436"/>
        <v>78.970499999999987</v>
      </c>
      <c r="U995" s="311">
        <f t="shared" ca="1" si="437"/>
        <v>0</v>
      </c>
      <c r="V995" s="306">
        <f t="shared" ca="1" si="438"/>
        <v>1.2261081746583602</v>
      </c>
      <c r="W995" s="304">
        <f t="shared" ca="1" si="439"/>
        <v>58.380083505351237</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2.5072936892184039</v>
      </c>
      <c r="AH995" s="304">
        <f t="shared" ca="1" si="463"/>
        <v>-7.2521459770855667</v>
      </c>
    </row>
    <row r="996" spans="1:34" x14ac:dyDescent="0.3">
      <c r="A996" s="347">
        <f t="shared" ca="1" si="441"/>
        <v>1E-4</v>
      </c>
      <c r="B996" s="304">
        <f t="shared" ca="1" si="442"/>
        <v>33.947300000001782</v>
      </c>
      <c r="D996" s="306">
        <f t="shared" ca="1" si="443"/>
        <v>-0.73534401364926616</v>
      </c>
      <c r="E996" s="307">
        <f t="shared" ca="1" si="444"/>
        <v>-2.5951925801728297</v>
      </c>
      <c r="F996" s="304">
        <f t="shared" ca="1" si="445"/>
        <v>2.6973608113476257</v>
      </c>
      <c r="G996" s="306">
        <f t="shared" ca="1" si="446"/>
        <v>12.551510797748097</v>
      </c>
      <c r="H996" s="307">
        <f t="shared" ca="1" si="447"/>
        <v>-123.1497814971048</v>
      </c>
      <c r="I996" s="304">
        <f t="shared" ca="1" si="448"/>
        <v>123.78775830465079</v>
      </c>
      <c r="J996" s="306">
        <f t="shared" ca="1" si="449"/>
        <v>780.60585379989482</v>
      </c>
      <c r="K996" s="307">
        <f t="shared" ca="1" si="450"/>
        <v>-9.0545487581759083</v>
      </c>
      <c r="L996" s="304">
        <f t="shared" ca="1" si="435"/>
        <v>780.65836563754124</v>
      </c>
      <c r="M996" s="306">
        <f t="shared" ca="1" si="451"/>
        <v>-1.4692263641376679</v>
      </c>
      <c r="N996" s="304">
        <f t="shared" ca="1" si="452"/>
        <v>-84.180469814439419</v>
      </c>
      <c r="P996" s="310">
        <f t="shared" ca="1" si="453"/>
        <v>23</v>
      </c>
      <c r="Q996" s="304">
        <f t="shared" ca="1" si="454"/>
        <v>0</v>
      </c>
      <c r="R996" s="306">
        <f t="shared" ca="1" si="455"/>
        <v>0</v>
      </c>
      <c r="S996" s="307">
        <f t="shared" ca="1" si="456"/>
        <v>8.0499999999999989</v>
      </c>
      <c r="T996" s="304">
        <f t="shared" ca="1" si="436"/>
        <v>78.970499999999987</v>
      </c>
      <c r="U996" s="311">
        <f t="shared" ca="1" si="437"/>
        <v>0</v>
      </c>
      <c r="V996" s="306">
        <f t="shared" ca="1" si="438"/>
        <v>1.2261096846075461</v>
      </c>
      <c r="W996" s="304">
        <f t="shared" ca="1" si="439"/>
        <v>58.380391892927193</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2.5072561792248953</v>
      </c>
      <c r="AH996" s="304">
        <f t="shared" ca="1" si="463"/>
        <v>-7.2521842863790367</v>
      </c>
    </row>
    <row r="997" spans="1:34" x14ac:dyDescent="0.3">
      <c r="A997" s="347">
        <f t="shared" ca="1" si="441"/>
        <v>1E-4</v>
      </c>
      <c r="B997" s="304">
        <f t="shared" ca="1" si="442"/>
        <v>33.947400000001785</v>
      </c>
      <c r="D997" s="306">
        <f t="shared" ca="1" si="443"/>
        <v>-0.73534210054718452</v>
      </c>
      <c r="E997" s="307">
        <f t="shared" ca="1" si="444"/>
        <v>-2.5951538777104854</v>
      </c>
      <c r="F997" s="304">
        <f t="shared" ca="1" si="445"/>
        <v>2.6973230532943053</v>
      </c>
      <c r="G997" s="306">
        <f t="shared" ca="1" si="446"/>
        <v>12.551437263538043</v>
      </c>
      <c r="H997" s="307">
        <f t="shared" ca="1" si="447"/>
        <v>-123.15004101249257</v>
      </c>
      <c r="I997" s="304">
        <f t="shared" ca="1" si="448"/>
        <v>123.78800902655772</v>
      </c>
      <c r="J997" s="306">
        <f t="shared" ca="1" si="449"/>
        <v>780.60585379989482</v>
      </c>
      <c r="K997" s="307">
        <f t="shared" ca="1" si="450"/>
        <v>-9.0668637493013886</v>
      </c>
      <c r="L997" s="304">
        <f t="shared" ca="1" si="435"/>
        <v>780.65850857139264</v>
      </c>
      <c r="M997" s="306">
        <f t="shared" ca="1" si="451"/>
        <v>-1.469227167679952</v>
      </c>
      <c r="N997" s="304">
        <f t="shared" ca="1" si="452"/>
        <v>-84.180515854020953</v>
      </c>
      <c r="P997" s="310">
        <f t="shared" ca="1" si="453"/>
        <v>23</v>
      </c>
      <c r="Q997" s="304">
        <f t="shared" ca="1" si="454"/>
        <v>0</v>
      </c>
      <c r="R997" s="306">
        <f t="shared" ca="1" si="455"/>
        <v>0</v>
      </c>
      <c r="S997" s="307">
        <f t="shared" ca="1" si="456"/>
        <v>8.0499999999999989</v>
      </c>
      <c r="T997" s="304">
        <f t="shared" ca="1" si="436"/>
        <v>78.970499999999987</v>
      </c>
      <c r="U997" s="311">
        <f t="shared" ca="1" si="437"/>
        <v>0</v>
      </c>
      <c r="V997" s="306">
        <f t="shared" ca="1" si="438"/>
        <v>1.2261111945617738</v>
      </c>
      <c r="W997" s="304">
        <f t="shared" ca="1" si="439"/>
        <v>58.380700278266659</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2.5072186694949865</v>
      </c>
      <c r="AH997" s="304">
        <f t="shared" ca="1" si="463"/>
        <v>-7.2522225953946835</v>
      </c>
    </row>
    <row r="998" spans="1:34" x14ac:dyDescent="0.3">
      <c r="A998" s="347">
        <f t="shared" ca="1" si="441"/>
        <v>1E-4</v>
      </c>
      <c r="B998" s="304">
        <f t="shared" ca="1" si="442"/>
        <v>33.947500000001789</v>
      </c>
      <c r="D998" s="306">
        <f t="shared" ca="1" si="443"/>
        <v>-0.73534018741265927</v>
      </c>
      <c r="E998" s="307">
        <f t="shared" ca="1" si="444"/>
        <v>-2.5951151755288056</v>
      </c>
      <c r="F998" s="304">
        <f t="shared" ca="1" si="445"/>
        <v>2.6972852955303019</v>
      </c>
      <c r="G998" s="306">
        <f t="shared" ca="1" si="446"/>
        <v>12.551363729519302</v>
      </c>
      <c r="H998" s="307">
        <f t="shared" ca="1" si="447"/>
        <v>-123.15030052401012</v>
      </c>
      <c r="I998" s="304">
        <f t="shared" ca="1" si="448"/>
        <v>123.78825974471367</v>
      </c>
      <c r="J998" s="306">
        <f t="shared" ca="1" si="449"/>
        <v>780.60585379989482</v>
      </c>
      <c r="K998" s="307">
        <f t="shared" ca="1" si="450"/>
        <v>-9.0791787663782131</v>
      </c>
      <c r="L998" s="304">
        <f t="shared" ca="1" si="435"/>
        <v>780.65865169979043</v>
      </c>
      <c r="M998" s="306">
        <f t="shared" ca="1" si="451"/>
        <v>-1.4692279712142735</v>
      </c>
      <c r="N998" s="304">
        <f t="shared" ca="1" si="452"/>
        <v>-84.180561893146276</v>
      </c>
      <c r="P998" s="310">
        <f t="shared" ca="1" si="453"/>
        <v>23</v>
      </c>
      <c r="Q998" s="304">
        <f t="shared" ca="1" si="454"/>
        <v>0</v>
      </c>
      <c r="R998" s="306">
        <f t="shared" ca="1" si="455"/>
        <v>0</v>
      </c>
      <c r="S998" s="307">
        <f t="shared" ca="1" si="456"/>
        <v>8.0499999999999989</v>
      </c>
      <c r="T998" s="304">
        <f t="shared" ca="1" si="436"/>
        <v>78.970499999999987</v>
      </c>
      <c r="U998" s="311">
        <f t="shared" ca="1" si="437"/>
        <v>0</v>
      </c>
      <c r="V998" s="306">
        <f t="shared" ca="1" si="438"/>
        <v>1.2261127045210443</v>
      </c>
      <c r="W998" s="304">
        <f t="shared" ca="1" si="439"/>
        <v>58.38100866136962</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2.5071811600286829</v>
      </c>
      <c r="AH998" s="304">
        <f t="shared" ca="1" si="463"/>
        <v>-7.2522609041325055</v>
      </c>
    </row>
    <row r="999" spans="1:34" x14ac:dyDescent="0.3">
      <c r="A999" s="347">
        <f t="shared" ca="1" si="441"/>
        <v>1E-4</v>
      </c>
      <c r="B999" s="304">
        <f t="shared" ca="1" si="442"/>
        <v>33.947600000001792</v>
      </c>
      <c r="D999" s="306">
        <f t="shared" ca="1" si="443"/>
        <v>-0.73533827424568998</v>
      </c>
      <c r="E999" s="307">
        <f t="shared" ca="1" si="444"/>
        <v>-2.5950764736277927</v>
      </c>
      <c r="F999" s="304">
        <f t="shared" ca="1" si="445"/>
        <v>2.6972475380556173</v>
      </c>
      <c r="G999" s="306">
        <f t="shared" ca="1" si="446"/>
        <v>12.551290195691877</v>
      </c>
      <c r="H999" s="307">
        <f t="shared" ca="1" si="447"/>
        <v>-123.15056003165748</v>
      </c>
      <c r="I999" s="304">
        <f t="shared" ca="1" si="448"/>
        <v>123.78851045911871</v>
      </c>
      <c r="J999" s="306">
        <f t="shared" ca="1" si="449"/>
        <v>780.60585379989482</v>
      </c>
      <c r="K999" s="307">
        <f t="shared" ca="1" si="450"/>
        <v>-9.0914938094059963</v>
      </c>
      <c r="L999" s="304">
        <f t="shared" ca="1" si="435"/>
        <v>780.65879502273538</v>
      </c>
      <c r="M999" s="306">
        <f t="shared" ca="1" si="451"/>
        <v>-1.4692287747406327</v>
      </c>
      <c r="N999" s="304">
        <f t="shared" ca="1" si="452"/>
        <v>-84.180607931815388</v>
      </c>
      <c r="P999" s="310">
        <f t="shared" ca="1" si="453"/>
        <v>23</v>
      </c>
      <c r="Q999" s="304">
        <f t="shared" ca="1" si="454"/>
        <v>0</v>
      </c>
      <c r="R999" s="306">
        <f t="shared" ca="1" si="455"/>
        <v>0</v>
      </c>
      <c r="S999" s="307">
        <f t="shared" ca="1" si="456"/>
        <v>8.0499999999999989</v>
      </c>
      <c r="T999" s="304">
        <f t="shared" ca="1" si="436"/>
        <v>78.970499999999987</v>
      </c>
      <c r="U999" s="311">
        <f t="shared" ca="1" si="437"/>
        <v>0</v>
      </c>
      <c r="V999" s="306">
        <f t="shared" ca="1" si="438"/>
        <v>1.2261142144853572</v>
      </c>
      <c r="W999" s="304">
        <f t="shared" ca="1" si="439"/>
        <v>58.381317042236105</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2.5071436508259826</v>
      </c>
      <c r="AH999" s="304">
        <f t="shared" ca="1" si="463"/>
        <v>-7.2522992125925008</v>
      </c>
    </row>
    <row r="1000" spans="1:34" x14ac:dyDescent="0.3">
      <c r="A1000" s="347">
        <f t="shared" ca="1" si="441"/>
        <v>1E-4</v>
      </c>
      <c r="B1000" s="304">
        <f t="shared" ca="1" si="442"/>
        <v>33.947700000001795</v>
      </c>
      <c r="D1000" s="306">
        <f t="shared" ca="1" si="443"/>
        <v>-0.73533636104627731</v>
      </c>
      <c r="E1000" s="307">
        <f t="shared" ca="1" si="444"/>
        <v>-2.5950377720074425</v>
      </c>
      <c r="F1000" s="304">
        <f t="shared" ca="1" si="445"/>
        <v>2.697209780870248</v>
      </c>
      <c r="G1000" s="306">
        <f t="shared" ca="1" si="446"/>
        <v>12.551216662055772</v>
      </c>
      <c r="H1000" s="307">
        <f t="shared" ca="1" si="447"/>
        <v>-123.15081953543468</v>
      </c>
      <c r="I1000" s="304">
        <f t="shared" ca="1" si="448"/>
        <v>123.78876116977287</v>
      </c>
      <c r="J1000" s="306">
        <f t="shared" ca="1" si="449"/>
        <v>780.60585379989482</v>
      </c>
      <c r="K1000" s="307">
        <f t="shared" ca="1" si="450"/>
        <v>-9.1038088783843509</v>
      </c>
      <c r="L1000" s="304">
        <f t="shared" ca="1" si="435"/>
        <v>780.65893854022886</v>
      </c>
      <c r="M1000" s="306">
        <f t="shared" ca="1" si="451"/>
        <v>-1.4692295782590294</v>
      </c>
      <c r="N1000" s="304">
        <f t="shared" ca="1" si="452"/>
        <v>-84.180653970028274</v>
      </c>
      <c r="P1000" s="310">
        <f t="shared" ca="1" si="453"/>
        <v>23</v>
      </c>
      <c r="Q1000" s="304">
        <f t="shared" ca="1" si="454"/>
        <v>0</v>
      </c>
      <c r="R1000" s="306">
        <f t="shared" ca="1" si="455"/>
        <v>0</v>
      </c>
      <c r="S1000" s="307">
        <f t="shared" ca="1" si="456"/>
        <v>8.0499999999999989</v>
      </c>
      <c r="T1000" s="304">
        <f t="shared" ca="1" si="436"/>
        <v>78.970499999999987</v>
      </c>
      <c r="U1000" s="311">
        <f t="shared" ca="1" si="437"/>
        <v>0</v>
      </c>
      <c r="V1000" s="306">
        <f t="shared" ca="1" si="438"/>
        <v>1.2261157244547118</v>
      </c>
      <c r="W1000" s="304">
        <f t="shared" ca="1" si="439"/>
        <v>58.381625420866072</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2.507106141886883</v>
      </c>
      <c r="AH1000" s="304">
        <f t="shared" ca="1" si="463"/>
        <v>-7.2523375207746721</v>
      </c>
    </row>
    <row r="1001" spans="1:34" x14ac:dyDescent="0.3">
      <c r="A1001" s="347">
        <f t="shared" ca="1" si="441"/>
        <v>1E-4</v>
      </c>
      <c r="B1001" s="304">
        <f t="shared" ca="1" si="442"/>
        <v>33.947800000001799</v>
      </c>
      <c r="D1001" s="306">
        <f t="shared" ca="1" si="443"/>
        <v>-0.73533444781442381</v>
      </c>
      <c r="E1001" s="307">
        <f t="shared" ca="1" si="444"/>
        <v>-2.5949990706677601</v>
      </c>
      <c r="F1001" s="304">
        <f t="shared" ca="1" si="445"/>
        <v>2.6971720239742001</v>
      </c>
      <c r="G1001" s="306">
        <f t="shared" ca="1" si="446"/>
        <v>12.55114312861099</v>
      </c>
      <c r="H1001" s="307">
        <f t="shared" ca="1" si="447"/>
        <v>-123.15107903534175</v>
      </c>
      <c r="I1001" s="304">
        <f t="shared" ca="1" si="448"/>
        <v>123.78901187667616</v>
      </c>
      <c r="J1001" s="306">
        <f t="shared" ca="1" si="449"/>
        <v>780.60585379989482</v>
      </c>
      <c r="K1001" s="307">
        <f t="shared" ca="1" si="450"/>
        <v>-9.1161239733128898</v>
      </c>
      <c r="L1001" s="304">
        <f t="shared" ca="1" si="435"/>
        <v>780.65908225227201</v>
      </c>
      <c r="M1001" s="306">
        <f t="shared" ca="1" si="451"/>
        <v>-1.4692303817694639</v>
      </c>
      <c r="N1001" s="304">
        <f t="shared" ca="1" si="452"/>
        <v>-84.180700007784964</v>
      </c>
      <c r="P1001" s="310">
        <f t="shared" ca="1" si="453"/>
        <v>23</v>
      </c>
      <c r="Q1001" s="304">
        <f t="shared" ca="1" si="454"/>
        <v>0</v>
      </c>
      <c r="R1001" s="306">
        <f t="shared" ca="1" si="455"/>
        <v>0</v>
      </c>
      <c r="S1001" s="307">
        <f t="shared" ca="1" si="456"/>
        <v>8.0499999999999989</v>
      </c>
      <c r="T1001" s="304">
        <f t="shared" ca="1" si="436"/>
        <v>78.970499999999987</v>
      </c>
      <c r="U1001" s="311">
        <f t="shared" ca="1" si="437"/>
        <v>0</v>
      </c>
      <c r="V1001" s="306">
        <f t="shared" ca="1" si="438"/>
        <v>1.2261172344291089</v>
      </c>
      <c r="W1001" s="304">
        <f t="shared" ca="1" si="439"/>
        <v>58.381933797259535</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2.5070686332113912</v>
      </c>
      <c r="AH1001" s="304">
        <f t="shared" ca="1" si="463"/>
        <v>-7.2523758286790159</v>
      </c>
    </row>
    <row r="1002" spans="1:34" x14ac:dyDescent="0.3">
      <c r="A1002" s="347">
        <f t="shared" ca="1" si="441"/>
        <v>1E-4</v>
      </c>
      <c r="B1002" s="304">
        <f t="shared" ca="1" si="442"/>
        <v>33.947900000001802</v>
      </c>
      <c r="D1002" s="306">
        <f t="shared" ca="1" si="443"/>
        <v>-0.73533253455012981</v>
      </c>
      <c r="E1002" s="307">
        <f t="shared" ca="1" si="444"/>
        <v>-2.5949603696087431</v>
      </c>
      <c r="F1002" s="304">
        <f t="shared" ca="1" si="445"/>
        <v>2.6971342673674705</v>
      </c>
      <c r="G1002" s="306">
        <f t="shared" ca="1" si="446"/>
        <v>12.551069595357536</v>
      </c>
      <c r="H1002" s="307">
        <f t="shared" ca="1" si="447"/>
        <v>-123.15133853137871</v>
      </c>
      <c r="I1002" s="304">
        <f t="shared" ca="1" si="448"/>
        <v>123.78926257982859</v>
      </c>
      <c r="J1002" s="306">
        <f t="shared" ca="1" si="449"/>
        <v>780.60585379989482</v>
      </c>
      <c r="K1002" s="307">
        <f t="shared" ca="1" si="450"/>
        <v>-9.1284390941912257</v>
      </c>
      <c r="L1002" s="304">
        <f t="shared" ca="1" si="435"/>
        <v>780.65922615886575</v>
      </c>
      <c r="M1002" s="306">
        <f t="shared" ca="1" si="451"/>
        <v>-1.4692311852719362</v>
      </c>
      <c r="N1002" s="304">
        <f t="shared" ca="1" si="452"/>
        <v>-84.180746045085456</v>
      </c>
      <c r="P1002" s="310">
        <f t="shared" ca="1" si="453"/>
        <v>23</v>
      </c>
      <c r="Q1002" s="304">
        <f t="shared" ca="1" si="454"/>
        <v>0</v>
      </c>
      <c r="R1002" s="306">
        <f t="shared" ca="1" si="455"/>
        <v>0</v>
      </c>
      <c r="S1002" s="307">
        <f t="shared" ca="1" si="456"/>
        <v>8.0499999999999989</v>
      </c>
      <c r="T1002" s="304">
        <f t="shared" ca="1" si="436"/>
        <v>78.970499999999987</v>
      </c>
      <c r="U1002" s="311">
        <f t="shared" ca="1" si="437"/>
        <v>0</v>
      </c>
      <c r="V1002" s="306">
        <f t="shared" ca="1" si="438"/>
        <v>1.2261187444085482</v>
      </c>
      <c r="W1002" s="304">
        <f t="shared" ca="1" si="439"/>
        <v>58.382242171416479</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2.5070311247995063</v>
      </c>
      <c r="AH1002" s="304">
        <f t="shared" ca="1" si="463"/>
        <v>-7.252414136305533</v>
      </c>
    </row>
    <row r="1003" spans="1:34" x14ac:dyDescent="0.3">
      <c r="A1003" s="347">
        <f t="shared" ca="1" si="441"/>
        <v>1E-4</v>
      </c>
      <c r="B1003" s="304">
        <f t="shared" ca="1" si="442"/>
        <v>33.948000000001805</v>
      </c>
      <c r="D1003" s="306">
        <f t="shared" ca="1" si="443"/>
        <v>-0.73533062125339477</v>
      </c>
      <c r="E1003" s="307">
        <f t="shared" ca="1" si="444"/>
        <v>-2.594921668830394</v>
      </c>
      <c r="F1003" s="304">
        <f t="shared" ca="1" si="445"/>
        <v>2.6970965110500624</v>
      </c>
      <c r="G1003" s="306">
        <f t="shared" ca="1" si="446"/>
        <v>12.550996062295411</v>
      </c>
      <c r="H1003" s="307">
        <f t="shared" ca="1" si="447"/>
        <v>-123.1515980235456</v>
      </c>
      <c r="I1003" s="304">
        <f t="shared" ca="1" si="448"/>
        <v>123.78951327923023</v>
      </c>
      <c r="J1003" s="306">
        <f t="shared" ca="1" si="449"/>
        <v>780.60585379989482</v>
      </c>
      <c r="K1003" s="307">
        <f t="shared" ca="1" si="450"/>
        <v>-9.1407542410189713</v>
      </c>
      <c r="L1003" s="304">
        <f t="shared" ca="1" si="435"/>
        <v>780.65937026001131</v>
      </c>
      <c r="M1003" s="306">
        <f t="shared" ca="1" si="451"/>
        <v>-1.4692319887664467</v>
      </c>
      <c r="N1003" s="304">
        <f t="shared" ca="1" si="452"/>
        <v>-84.180792081929766</v>
      </c>
      <c r="P1003" s="310">
        <f t="shared" ca="1" si="453"/>
        <v>23</v>
      </c>
      <c r="Q1003" s="304">
        <f t="shared" ca="1" si="454"/>
        <v>0</v>
      </c>
      <c r="R1003" s="306">
        <f t="shared" ca="1" si="455"/>
        <v>0</v>
      </c>
      <c r="S1003" s="307">
        <f t="shared" ca="1" si="456"/>
        <v>8.0499999999999989</v>
      </c>
      <c r="T1003" s="304">
        <f t="shared" ca="1" si="436"/>
        <v>78.970499999999987</v>
      </c>
      <c r="U1003" s="311">
        <f t="shared" ca="1" si="437"/>
        <v>0</v>
      </c>
      <c r="V1003" s="306">
        <f ca="1">Rho_moyen*(20000-Alt_rampe-pos_z)/(20000+Alt_rampe+pos_z)</f>
        <v>1.2261202543930296</v>
      </c>
      <c r="W1003" s="304">
        <f t="shared" ca="1" si="439"/>
        <v>58.382550543336919</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2.5069936166512283</v>
      </c>
      <c r="AH1003" s="304">
        <f t="shared" ca="1" si="463"/>
        <v>-7.2524524436542217</v>
      </c>
    </row>
    <row r="1004" spans="1:34" x14ac:dyDescent="0.3">
      <c r="A1004" s="348">
        <f t="shared" ca="1" si="441"/>
        <v>1E-4</v>
      </c>
      <c r="B1004" s="305">
        <f t="shared" ca="1" si="442"/>
        <v>33.948100000001808</v>
      </c>
      <c r="D1004" s="308">
        <f t="shared" ca="1" si="443"/>
        <v>-0.735328707924219</v>
      </c>
      <c r="E1004" s="309">
        <f t="shared" ca="1" si="444"/>
        <v>-2.5948829683327119</v>
      </c>
      <c r="F1004" s="305">
        <f t="shared" ca="1" si="445"/>
        <v>2.6970587550219753</v>
      </c>
      <c r="G1004" s="308">
        <f t="shared" ca="1" si="446"/>
        <v>12.550922529424618</v>
      </c>
      <c r="H1004" s="309">
        <f t="shared" ca="1" si="447"/>
        <v>-123.15185751184244</v>
      </c>
      <c r="I1004" s="305">
        <f t="shared" ca="1" si="448"/>
        <v>123.78976397488105</v>
      </c>
      <c r="J1004" s="308">
        <f t="shared" ca="1" si="449"/>
        <v>780.60585379989482</v>
      </c>
      <c r="K1004" s="309">
        <f t="shared" ca="1" si="450"/>
        <v>-9.1530694137957411</v>
      </c>
      <c r="L1004" s="305">
        <f t="shared" ca="1" si="435"/>
        <v>780.65951455570985</v>
      </c>
      <c r="M1004" s="308">
        <f t="shared" ca="1" si="451"/>
        <v>-1.4692327922529951</v>
      </c>
      <c r="N1004" s="305">
        <f t="shared" ca="1" si="452"/>
        <v>-84.180838118317894</v>
      </c>
      <c r="P1004" s="312">
        <f t="shared" ca="1" si="453"/>
        <v>23</v>
      </c>
      <c r="Q1004" s="305">
        <f t="shared" ca="1" si="454"/>
        <v>0</v>
      </c>
      <c r="R1004" s="308">
        <f t="shared" ca="1" si="455"/>
        <v>0</v>
      </c>
      <c r="S1004" s="309">
        <f t="shared" ca="1" si="456"/>
        <v>8.0499999999999989</v>
      </c>
      <c r="T1004" s="305">
        <f t="shared" ca="1" si="436"/>
        <v>78.970499999999987</v>
      </c>
      <c r="U1004" s="313">
        <f t="shared" ca="1" si="437"/>
        <v>0</v>
      </c>
      <c r="V1004" s="308">
        <f t="shared" ca="1" si="438"/>
        <v>1.2261217643825528</v>
      </c>
      <c r="W1004" s="305">
        <f ca="1">1/2*Rho*Sref*Cx*vit_xz^2</f>
        <v>58.382858913020783</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2.5069561087665573</v>
      </c>
      <c r="AH1004" s="305">
        <f t="shared" ca="1" si="463"/>
        <v>-7.2524907507250838</v>
      </c>
    </row>
    <row r="1005" spans="1:34" x14ac:dyDescent="0.3">
      <c r="Y1005" s="303"/>
    </row>
    <row r="1010" spans="12:12" x14ac:dyDescent="0.3">
      <c r="L1010"/>
    </row>
    <row r="1034" spans="5:25" x14ac:dyDescent="0.3">
      <c r="E1034" s="300" t="s">
        <v>254</v>
      </c>
      <c r="J1034" s="301" t="s">
        <v>246</v>
      </c>
      <c r="T1034" s="300" t="s">
        <v>245</v>
      </c>
      <c r="Y1034" s="302" t="s">
        <v>248</v>
      </c>
    </row>
    <row r="1035" spans="5:25" x14ac:dyDescent="0.3">
      <c r="E1035" s="299" t="s">
        <v>258</v>
      </c>
    </row>
    <row r="1036" spans="5:25" x14ac:dyDescent="0.3">
      <c r="E1036" s="299"/>
      <c r="T1036" s="299" t="s">
        <v>251</v>
      </c>
    </row>
    <row r="1037" spans="5:25" x14ac:dyDescent="0.3">
      <c r="E1037" s="299"/>
      <c r="T1037" s="299" t="s">
        <v>255</v>
      </c>
    </row>
    <row r="1038" spans="5:25" x14ac:dyDescent="0.3">
      <c r="E1038" s="299"/>
      <c r="T1038" s="299" t="s">
        <v>256</v>
      </c>
    </row>
    <row r="1039" spans="5:25" x14ac:dyDescent="0.3">
      <c r="E1039" s="299"/>
      <c r="T1039" s="299" t="s">
        <v>262</v>
      </c>
    </row>
    <row r="1040" spans="5:25" x14ac:dyDescent="0.3">
      <c r="E1040" s="299" t="s">
        <v>257</v>
      </c>
      <c r="T1040" s="299" t="s">
        <v>247</v>
      </c>
    </row>
    <row r="1041" spans="5:20" x14ac:dyDescent="0.3">
      <c r="E1041" s="299"/>
      <c r="T1041" s="299" t="s">
        <v>263</v>
      </c>
    </row>
    <row r="1042" spans="5:20" x14ac:dyDescent="0.3">
      <c r="E1042" s="299"/>
      <c r="R1042" s="303"/>
      <c r="T1042" s="299"/>
    </row>
    <row r="1043" spans="5:20" x14ac:dyDescent="0.3">
      <c r="E1043" s="299"/>
    </row>
    <row r="1044" spans="5:20" x14ac:dyDescent="0.3">
      <c r="E1044" s="299"/>
    </row>
    <row r="1045" spans="5:20" x14ac:dyDescent="0.3">
      <c r="E1045" s="299" t="s">
        <v>260</v>
      </c>
      <c r="R1045" s="303"/>
      <c r="T1045" s="299"/>
    </row>
    <row r="1046" spans="5:20" x14ac:dyDescent="0.3">
      <c r="E1046" s="299"/>
    </row>
    <row r="1047" spans="5:20" x14ac:dyDescent="0.3">
      <c r="E1047" s="299"/>
    </row>
    <row r="1048" spans="5:20" x14ac:dyDescent="0.3">
      <c r="E1048" s="299"/>
      <c r="T1048" s="298" t="s">
        <v>253</v>
      </c>
    </row>
    <row r="1049" spans="5:20" x14ac:dyDescent="0.3">
      <c r="E1049" s="299"/>
    </row>
    <row r="1050" spans="5:20" x14ac:dyDescent="0.3">
      <c r="E1050" s="299" t="s">
        <v>261</v>
      </c>
    </row>
    <row r="1053" spans="5:20" x14ac:dyDescent="0.3">
      <c r="T1053" s="298" t="s">
        <v>266</v>
      </c>
    </row>
    <row r="1055" spans="5:20" x14ac:dyDescent="0.3">
      <c r="E1055" s="299" t="s">
        <v>250</v>
      </c>
    </row>
    <row r="1058" spans="5:20" x14ac:dyDescent="0.3">
      <c r="T1058" s="299" t="s">
        <v>267</v>
      </c>
    </row>
    <row r="1060" spans="5:20" x14ac:dyDescent="0.3">
      <c r="E1060" s="299" t="s">
        <v>259</v>
      </c>
    </row>
    <row r="1061" spans="5:20" x14ac:dyDescent="0.3">
      <c r="E1061" s="299"/>
    </row>
    <row r="1062" spans="5:20" x14ac:dyDescent="0.3">
      <c r="E1062" s="299"/>
    </row>
    <row r="1063" spans="5:20" x14ac:dyDescent="0.3">
      <c r="E1063" s="299"/>
    </row>
    <row r="1064" spans="5:20" x14ac:dyDescent="0.3">
      <c r="E1064" s="299"/>
    </row>
    <row r="1065" spans="5:20" x14ac:dyDescent="0.3">
      <c r="E1065" s="299" t="s">
        <v>249</v>
      </c>
    </row>
    <row r="1066" spans="5:20" x14ac:dyDescent="0.3">
      <c r="E1066" s="299"/>
    </row>
    <row r="1067" spans="5:20" x14ac:dyDescent="0.3">
      <c r="E1067" s="299"/>
    </row>
    <row r="1068" spans="5:20" x14ac:dyDescent="0.3">
      <c r="E1068" s="299"/>
    </row>
    <row r="1069" spans="5:20" x14ac:dyDescent="0.3">
      <c r="E1069" s="299"/>
    </row>
    <row r="1070" spans="5:20" x14ac:dyDescent="0.3">
      <c r="E1070" s="299" t="s">
        <v>252</v>
      </c>
    </row>
    <row r="1071" spans="5:20" x14ac:dyDescent="0.3">
      <c r="E1071" s="299"/>
    </row>
    <row r="1072" spans="5:20" x14ac:dyDescent="0.3">
      <c r="E1072" s="299"/>
    </row>
    <row r="1073" spans="5:5" x14ac:dyDescent="0.3">
      <c r="E1073" s="299"/>
    </row>
    <row r="1074" spans="5:5" x14ac:dyDescent="0.3">
      <c r="E1074" s="299"/>
    </row>
    <row r="1075" spans="5:5" x14ac:dyDescent="0.3">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10886</xdr:colOff>
                <xdr:row>1010</xdr:row>
                <xdr:rowOff>103414</xdr:rowOff>
              </from>
              <to>
                <xdr:col>20</xdr:col>
                <xdr:colOff>293914</xdr:colOff>
                <xdr:row>1013</xdr:row>
                <xdr:rowOff>27214</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27214</xdr:colOff>
                <xdr:row>1024</xdr:row>
                <xdr:rowOff>157843</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255814</xdr:colOff>
                <xdr:row>1006</xdr:row>
                <xdr:rowOff>27214</xdr:rowOff>
              </from>
              <to>
                <xdr:col>24</xdr:col>
                <xdr:colOff>152400</xdr:colOff>
                <xdr:row>1007</xdr:row>
                <xdr:rowOff>103414</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10886</xdr:colOff>
                <xdr:row>1017</xdr:row>
                <xdr:rowOff>163286</xdr:rowOff>
              </from>
              <to>
                <xdr:col>10</xdr:col>
                <xdr:colOff>582386</xdr:colOff>
                <xdr:row>1019</xdr:row>
                <xdr:rowOff>141514</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10886</xdr:colOff>
                <xdr:row>1014</xdr:row>
                <xdr:rowOff>179614</xdr:rowOff>
              </from>
              <to>
                <xdr:col>11</xdr:col>
                <xdr:colOff>266700</xdr:colOff>
                <xdr:row>1016</xdr:row>
                <xdr:rowOff>70757</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10886</xdr:colOff>
                <xdr:row>1016</xdr:row>
                <xdr:rowOff>76200</xdr:rowOff>
              </from>
              <to>
                <xdr:col>11</xdr:col>
                <xdr:colOff>234043</xdr:colOff>
                <xdr:row>1017</xdr:row>
                <xdr:rowOff>157843</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70757</xdr:rowOff>
              </from>
              <to>
                <xdr:col>17</xdr:col>
                <xdr:colOff>272143</xdr:colOff>
                <xdr:row>1024</xdr:row>
                <xdr:rowOff>163286</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234043</xdr:colOff>
                <xdr:row>1010</xdr:row>
                <xdr:rowOff>87086</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103414</xdr:rowOff>
              </from>
              <to>
                <xdr:col>12</xdr:col>
                <xdr:colOff>239486</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10886</xdr:colOff>
                <xdr:row>1006</xdr:row>
                <xdr:rowOff>103414</xdr:rowOff>
              </from>
              <to>
                <xdr:col>3</xdr:col>
                <xdr:colOff>538843</xdr:colOff>
                <xdr:row>1007</xdr:row>
                <xdr:rowOff>179614</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179614</xdr:rowOff>
              </from>
              <to>
                <xdr:col>16</xdr:col>
                <xdr:colOff>0</xdr:colOff>
                <xdr:row>1026</xdr:row>
                <xdr:rowOff>146957</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10886</xdr:colOff>
                <xdr:row>1013</xdr:row>
                <xdr:rowOff>32657</xdr:rowOff>
              </from>
              <to>
                <xdr:col>21</xdr:col>
                <xdr:colOff>27214</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10886</xdr:colOff>
                <xdr:row>1005</xdr:row>
                <xdr:rowOff>10886</xdr:rowOff>
              </from>
              <to>
                <xdr:col>10</xdr:col>
                <xdr:colOff>408214</xdr:colOff>
                <xdr:row>1006</xdr:row>
                <xdr:rowOff>87086</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10886</xdr:rowOff>
              </from>
              <to>
                <xdr:col>8</xdr:col>
                <xdr:colOff>190500</xdr:colOff>
                <xdr:row>1014</xdr:row>
                <xdr:rowOff>163286</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10886</xdr:colOff>
                <xdr:row>1018</xdr:row>
                <xdr:rowOff>48986</xdr:rowOff>
              </from>
              <to>
                <xdr:col>24</xdr:col>
                <xdr:colOff>1077686</xdr:colOff>
                <xdr:row>1019</xdr:row>
                <xdr:rowOff>141514</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146957</xdr:rowOff>
              </from>
              <to>
                <xdr:col>20</xdr:col>
                <xdr:colOff>576943</xdr:colOff>
                <xdr:row>1022</xdr:row>
                <xdr:rowOff>48986</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48986</xdr:rowOff>
              </from>
              <to>
                <xdr:col>19</xdr:col>
                <xdr:colOff>185057</xdr:colOff>
                <xdr:row>1019</xdr:row>
                <xdr:rowOff>141514</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10886</xdr:colOff>
                <xdr:row>1007</xdr:row>
                <xdr:rowOff>119743</xdr:rowOff>
              </from>
              <to>
                <xdr:col>37</xdr:col>
                <xdr:colOff>277586</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10886</xdr:colOff>
                <xdr:row>1010</xdr:row>
                <xdr:rowOff>87086</xdr:rowOff>
              </from>
              <to>
                <xdr:col>35</xdr:col>
                <xdr:colOff>723900</xdr:colOff>
                <xdr:row>1013</xdr:row>
                <xdr:rowOff>43543</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27214</xdr:rowOff>
              </from>
              <to>
                <xdr:col>11</xdr:col>
                <xdr:colOff>560614</xdr:colOff>
                <xdr:row>1038</xdr:row>
                <xdr:rowOff>27214</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27214</xdr:rowOff>
              </from>
              <to>
                <xdr:col>12</xdr:col>
                <xdr:colOff>32657</xdr:colOff>
                <xdr:row>1043</xdr:row>
                <xdr:rowOff>27214</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10886</xdr:colOff>
                <xdr:row>1014</xdr:row>
                <xdr:rowOff>119743</xdr:rowOff>
              </from>
              <to>
                <xdr:col>20</xdr:col>
                <xdr:colOff>337457</xdr:colOff>
                <xdr:row>1016</xdr:row>
                <xdr:rowOff>10886</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255814</xdr:colOff>
                <xdr:row>1007</xdr:row>
                <xdr:rowOff>114300</xdr:rowOff>
              </from>
              <to>
                <xdr:col>32</xdr:col>
                <xdr:colOff>163286</xdr:colOff>
                <xdr:row>1010</xdr:row>
                <xdr:rowOff>87086</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32657</xdr:rowOff>
              </from>
              <to>
                <xdr:col>12</xdr:col>
                <xdr:colOff>337457</xdr:colOff>
                <xdr:row>1058</xdr:row>
                <xdr:rowOff>48986</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32657</xdr:rowOff>
              </from>
              <to>
                <xdr:col>15</xdr:col>
                <xdr:colOff>48986</xdr:colOff>
                <xdr:row>1063</xdr:row>
                <xdr:rowOff>48986</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32657</xdr:rowOff>
              </from>
              <to>
                <xdr:col>16</xdr:col>
                <xdr:colOff>674914</xdr:colOff>
                <xdr:row>1068</xdr:row>
                <xdr:rowOff>48986</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32657</xdr:rowOff>
              </from>
              <to>
                <xdr:col>16</xdr:col>
                <xdr:colOff>108857</xdr:colOff>
                <xdr:row>1048</xdr:row>
                <xdr:rowOff>32657</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32657</xdr:rowOff>
              </from>
              <to>
                <xdr:col>16</xdr:col>
                <xdr:colOff>386443</xdr:colOff>
                <xdr:row>1053</xdr:row>
                <xdr:rowOff>48986</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32657</xdr:rowOff>
              </from>
              <to>
                <xdr:col>12</xdr:col>
                <xdr:colOff>413657</xdr:colOff>
                <xdr:row>1073</xdr:row>
                <xdr:rowOff>48986</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32657</xdr:rowOff>
              </from>
              <to>
                <xdr:col>32</xdr:col>
                <xdr:colOff>419100</xdr:colOff>
                <xdr:row>1056</xdr:row>
                <xdr:rowOff>32657</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27214</xdr:colOff>
                <xdr:row>1022</xdr:row>
                <xdr:rowOff>48986</xdr:rowOff>
              </from>
              <to>
                <xdr:col>32</xdr:col>
                <xdr:colOff>266700</xdr:colOff>
                <xdr:row>1024</xdr:row>
                <xdr:rowOff>141514</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27214</xdr:rowOff>
              </from>
              <to>
                <xdr:col>36</xdr:col>
                <xdr:colOff>163286</xdr:colOff>
                <xdr:row>1020</xdr:row>
                <xdr:rowOff>27214</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696686</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43543</xdr:rowOff>
              </from>
              <to>
                <xdr:col>35</xdr:col>
                <xdr:colOff>141514</xdr:colOff>
                <xdr:row>1023</xdr:row>
                <xdr:rowOff>43543</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70757</xdr:rowOff>
              </from>
              <to>
                <xdr:col>36</xdr:col>
                <xdr:colOff>48986</xdr:colOff>
                <xdr:row>1026</xdr:row>
                <xdr:rowOff>70757</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32657</xdr:rowOff>
              </from>
              <to>
                <xdr:col>34</xdr:col>
                <xdr:colOff>348343</xdr:colOff>
                <xdr:row>1051</xdr:row>
                <xdr:rowOff>87086</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defaultColWidth="11.07421875" defaultRowHeight="12.45" x14ac:dyDescent="0.3"/>
  <cols>
    <col min="1" max="1" width="2.15234375" customWidth="1"/>
    <col min="2" max="2" width="16.15234375" customWidth="1"/>
    <col min="3" max="4" width="11.3828125" customWidth="1"/>
  </cols>
  <sheetData>
    <row r="1" spans="1:13" x14ac:dyDescent="0.3">
      <c r="A1" s="51"/>
      <c r="B1" s="52"/>
      <c r="C1" s="53"/>
      <c r="D1" s="52"/>
      <c r="E1" s="72"/>
      <c r="F1" s="72"/>
      <c r="G1" s="72"/>
      <c r="H1" s="72"/>
      <c r="I1" s="72"/>
      <c r="J1" s="72"/>
      <c r="K1" s="72"/>
      <c r="L1" s="72"/>
      <c r="M1" s="73"/>
    </row>
    <row r="2" spans="1:13" ht="12.75" customHeight="1" x14ac:dyDescent="0.3">
      <c r="A2" s="56"/>
      <c r="B2" s="2"/>
      <c r="C2" s="598" t="s">
        <v>279</v>
      </c>
      <c r="D2" s="598"/>
      <c r="M2" s="75"/>
    </row>
    <row r="3" spans="1:13" ht="12.75" customHeight="1" x14ac:dyDescent="0.3">
      <c r="A3" s="56"/>
      <c r="B3" s="2"/>
      <c r="C3" s="598"/>
      <c r="D3" s="598"/>
      <c r="M3" s="75"/>
    </row>
    <row r="4" spans="1:13" x14ac:dyDescent="0.3">
      <c r="A4" s="56"/>
      <c r="B4" s="2"/>
      <c r="C4" s="603" t="str">
        <f>IF(Lang="Français","Abaques de performance",IF(Lang="English","Performance charts",""))</f>
        <v>Abaques de performance</v>
      </c>
      <c r="D4" s="603"/>
      <c r="M4" s="75"/>
    </row>
    <row r="5" spans="1:13" x14ac:dyDescent="0.3">
      <c r="A5" s="56"/>
      <c r="B5" s="2"/>
      <c r="C5" s="603" t="str">
        <f>IF(Lang="Français","Calcul analytique simple",IF(Lang="English","Analytical computation",""))</f>
        <v>Calcul analytique simple</v>
      </c>
      <c r="D5" s="603"/>
      <c r="M5" s="75"/>
    </row>
    <row r="6" spans="1:13" x14ac:dyDescent="0.3">
      <c r="A6" s="56"/>
      <c r="B6" s="87"/>
      <c r="C6" s="1"/>
      <c r="D6" s="1"/>
      <c r="M6" s="75"/>
    </row>
    <row r="7" spans="1:13" x14ac:dyDescent="0.3">
      <c r="A7" s="59"/>
      <c r="B7" s="6"/>
      <c r="C7" s="599" t="str">
        <f>IF(Lang="Français","Fusée",IF(Lang="English","Rocket",""))</f>
        <v>Fusée</v>
      </c>
      <c r="D7" s="599"/>
      <c r="M7" s="75"/>
    </row>
    <row r="8" spans="1:13" ht="15.45" x14ac:dyDescent="0.4">
      <c r="A8" s="59"/>
      <c r="B8" s="140" t="str">
        <f>IF(Lang="Français","Nom",IF(Lang="English","Name",""))</f>
        <v>Nom</v>
      </c>
      <c r="C8" s="600" t="str">
        <f>Nom</f>
        <v>Hellfire</v>
      </c>
      <c r="D8" s="600"/>
      <c r="M8" s="75"/>
    </row>
    <row r="9" spans="1:13" ht="15.45" x14ac:dyDescent="0.4">
      <c r="A9" s="59"/>
      <c r="B9" s="140" t="s">
        <v>4</v>
      </c>
      <c r="C9" s="600" t="str">
        <f>Club</f>
        <v>Acelspace</v>
      </c>
      <c r="D9" s="600"/>
      <c r="M9" s="75"/>
    </row>
    <row r="10" spans="1:13" ht="15.45" x14ac:dyDescent="0.4">
      <c r="A10" s="59"/>
      <c r="B10" s="140" t="s">
        <v>561</v>
      </c>
      <c r="C10" s="666" t="str">
        <f>Matricule</f>
        <v>FX10</v>
      </c>
      <c r="D10" s="667"/>
      <c r="M10" s="75"/>
    </row>
    <row r="11" spans="1:13" x14ac:dyDescent="0.3">
      <c r="A11" s="59"/>
      <c r="B11" s="140" t="str">
        <f>IF(Lang="Français","Masse sans propu",IF(Lang="English","Mass without M",""))</f>
        <v>Masse sans propu</v>
      </c>
      <c r="C11" s="662">
        <f>MasseSans</f>
        <v>7.4</v>
      </c>
      <c r="D11" s="662"/>
      <c r="M11" s="75"/>
    </row>
    <row r="12" spans="1:13" x14ac:dyDescent="0.3">
      <c r="A12" s="59"/>
      <c r="B12" s="140" t="str">
        <f>IF(Lang="Français","Masse totale",IF(Lang="English","Total mass",""))</f>
        <v>Masse totale</v>
      </c>
      <c r="C12" s="665" t="str">
        <f ca="1">MassePlein &amp; " kg ±" &amp; MasseSans &amp; " kg"</f>
        <v>9,032 kg ±7,4 kg</v>
      </c>
      <c r="D12" s="665"/>
      <c r="M12" s="75"/>
    </row>
    <row r="13" spans="1:13" x14ac:dyDescent="0.3">
      <c r="A13" s="59"/>
      <c r="B13" s="227" t="str">
        <f>IF(Lang="Français","Propulseur",IF(Lang="English","Motor",""))</f>
        <v>Propulseur</v>
      </c>
      <c r="C13" s="628" t="str">
        <f>Propu</f>
        <v>Pro54-5G WT</v>
      </c>
      <c r="D13" s="629"/>
      <c r="M13" s="75"/>
    </row>
    <row r="14" spans="1:13" x14ac:dyDescent="0.3">
      <c r="A14" s="59"/>
      <c r="B14" s="1"/>
      <c r="C14" s="1"/>
      <c r="D14" s="1"/>
      <c r="M14" s="75"/>
    </row>
    <row r="15" spans="1:13" x14ac:dyDescent="0.3">
      <c r="A15" s="74"/>
      <c r="C15" s="599" t="str">
        <f>IF(Lang="Français","Traînée Aérdynamique",IF(Lang="English","Drag",""))</f>
        <v>Traînée Aérdynamique</v>
      </c>
      <c r="D15" s="599"/>
      <c r="M15" s="75"/>
    </row>
    <row r="16" spans="1:13" x14ac:dyDescent="0.3">
      <c r="A16" s="74"/>
      <c r="B16" s="139" t="str">
        <f>IF(Lang="Français","Diamètre Ø",IF(Lang="English","Diameter Ø",""))</f>
        <v>Diamètre Ø</v>
      </c>
      <c r="C16" s="663">
        <f>D_ref</f>
        <v>100</v>
      </c>
      <c r="D16" s="663"/>
      <c r="M16" s="75"/>
    </row>
    <row r="17" spans="1:13" x14ac:dyDescent="0.3">
      <c r="A17" s="74"/>
      <c r="B17" s="140" t="s">
        <v>5</v>
      </c>
      <c r="C17" s="664">
        <f>Cx</f>
        <v>0.7</v>
      </c>
      <c r="D17" s="664"/>
      <c r="M17" s="75"/>
    </row>
    <row r="18" spans="1:13" x14ac:dyDescent="0.3">
      <c r="A18" s="74"/>
      <c r="M18" s="75"/>
    </row>
    <row r="19" spans="1:13" x14ac:dyDescent="0.3">
      <c r="A19" s="74"/>
      <c r="M19" s="75"/>
    </row>
    <row r="20" spans="1:13" x14ac:dyDescent="0.3">
      <c r="A20" s="74"/>
      <c r="M20" s="75"/>
    </row>
    <row r="21" spans="1:13" x14ac:dyDescent="0.3">
      <c r="A21" s="74"/>
      <c r="M21" s="75"/>
    </row>
    <row r="22" spans="1:13" x14ac:dyDescent="0.3">
      <c r="A22" s="74"/>
      <c r="M22" s="75"/>
    </row>
    <row r="23" spans="1:13" x14ac:dyDescent="0.3">
      <c r="A23" s="74"/>
      <c r="M23" s="75"/>
    </row>
    <row r="24" spans="1:13" x14ac:dyDescent="0.3">
      <c r="A24" s="74"/>
      <c r="M24" s="75"/>
    </row>
    <row r="25" spans="1:13" x14ac:dyDescent="0.3">
      <c r="A25" s="74"/>
      <c r="M25" s="75"/>
    </row>
    <row r="26" spans="1:13" x14ac:dyDescent="0.3">
      <c r="A26" s="74"/>
      <c r="M26" s="75"/>
    </row>
    <row r="27" spans="1:13" x14ac:dyDescent="0.3">
      <c r="A27" s="74"/>
      <c r="M27" s="75"/>
    </row>
    <row r="28" spans="1:13" x14ac:dyDescent="0.3">
      <c r="A28" s="74"/>
      <c r="M28" s="75"/>
    </row>
    <row r="29" spans="1:13" x14ac:dyDescent="0.3">
      <c r="A29" s="74"/>
      <c r="M29" s="75"/>
    </row>
    <row r="30" spans="1:13" x14ac:dyDescent="0.3">
      <c r="A30" s="74"/>
      <c r="M30" s="75"/>
    </row>
    <row r="31" spans="1:13" x14ac:dyDescent="0.3">
      <c r="A31" s="74"/>
      <c r="M31" s="75"/>
    </row>
    <row r="32" spans="1:13" x14ac:dyDescent="0.3">
      <c r="A32" s="74"/>
      <c r="M32" s="75"/>
    </row>
    <row r="33" spans="1:13" x14ac:dyDescent="0.3">
      <c r="A33" s="74"/>
      <c r="M33" s="75"/>
    </row>
    <row r="34" spans="1:13" x14ac:dyDescent="0.3">
      <c r="A34" s="74"/>
      <c r="M34" s="75"/>
    </row>
    <row r="35" spans="1:13" x14ac:dyDescent="0.3">
      <c r="A35" s="74"/>
      <c r="M35" s="75"/>
    </row>
    <row r="36" spans="1:13" x14ac:dyDescent="0.3">
      <c r="A36" s="74"/>
      <c r="M36" s="75"/>
    </row>
    <row r="37" spans="1:13" ht="12.9" thickBot="1" x14ac:dyDescent="0.35">
      <c r="A37" s="77"/>
      <c r="B37" s="78"/>
      <c r="C37" s="78"/>
      <c r="D37" s="78"/>
      <c r="E37" s="78"/>
      <c r="F37" s="78"/>
      <c r="G37" s="78"/>
      <c r="H37" s="78"/>
      <c r="I37" s="78"/>
      <c r="J37" s="78"/>
      <c r="K37" s="78"/>
      <c r="L37" s="78"/>
      <c r="M37" s="79"/>
    </row>
    <row r="41" spans="1:13" x14ac:dyDescent="0.3">
      <c r="B41" s="419" t="s">
        <v>61</v>
      </c>
      <c r="C41" s="170" t="s">
        <v>283</v>
      </c>
      <c r="D41" s="134" t="s">
        <v>280</v>
      </c>
      <c r="E41" s="134" t="s">
        <v>284</v>
      </c>
      <c r="F41" s="134" t="s">
        <v>285</v>
      </c>
      <c r="G41" s="134" t="s">
        <v>13</v>
      </c>
      <c r="H41" s="134" t="s">
        <v>281</v>
      </c>
      <c r="I41" s="134" t="s">
        <v>282</v>
      </c>
      <c r="J41" s="134" t="s">
        <v>297</v>
      </c>
      <c r="K41" s="134" t="s">
        <v>298</v>
      </c>
      <c r="L41" s="134" t="s">
        <v>300</v>
      </c>
      <c r="M41" s="134" t="s">
        <v>288</v>
      </c>
    </row>
    <row r="42" spans="1:13" x14ac:dyDescent="0.3">
      <c r="B42" s="420" t="s">
        <v>289</v>
      </c>
      <c r="C42" s="170" t="s">
        <v>290</v>
      </c>
      <c r="D42" s="134" t="s">
        <v>291</v>
      </c>
      <c r="E42" s="134" t="s">
        <v>292</v>
      </c>
      <c r="F42" s="134" t="s">
        <v>293</v>
      </c>
      <c r="G42" s="134" t="s">
        <v>294</v>
      </c>
      <c r="H42" s="134" t="s">
        <v>295</v>
      </c>
      <c r="I42" s="134" t="s">
        <v>296</v>
      </c>
      <c r="J42" s="134" t="s">
        <v>286</v>
      </c>
      <c r="K42" s="134" t="s">
        <v>287</v>
      </c>
      <c r="L42" s="134"/>
      <c r="M42" s="134"/>
    </row>
    <row r="43" spans="1:13" x14ac:dyDescent="0.3">
      <c r="B43" s="425">
        <f t="shared" ref="B43:B51" ca="1" si="0">MAX(D_ref*0.5, Diam_propu)</f>
        <v>54</v>
      </c>
      <c r="C43" s="403">
        <f t="shared" ref="C43:C69" ca="1" si="1">1/2*Rho_moyen*PI()*D_var^2/4*Cx/10^6</f>
        <v>9.8193227281520882E-4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8.6058919615706296E-4</v>
      </c>
      <c r="I43" s="403">
        <f t="shared" ref="I43:I69" ca="1" si="6">Q_var/m_bal</f>
        <v>1.5106650351003213E-3</v>
      </c>
      <c r="J43" s="403">
        <f t="shared" ref="J43:J69" ca="1" si="7">1/(2*b_prop)*LN(  ((EXP(2*SQRT(a_prop*b_prop)*Temps_fin_propu)+1)^2)  /  (((1+1)^2)*EXP(2*SQRT(a_prop*b_prop)*Temps_fin_propu)))</f>
        <v>1092.7312787053243</v>
      </c>
      <c r="K43" s="410">
        <f t="shared" ref="K43:K69" ca="1" si="8">SQRT(a_prop/b_prop)  *  (EXP(2*SQRT(a_prop*b_prop)*Temps_fin_propu)-1)/(EXP(2*SQRT(a_prop*b_prop)*Temps_fin_propu)+1)</f>
        <v>1002.4406316061013</v>
      </c>
      <c r="L43" s="413">
        <f t="shared" ref="L43:L69" ca="1" si="9">alt_prop + 1/(2*b_bal) * LN(1+b_bal/g*V_prop^2)</f>
        <v>2763.5913417554384</v>
      </c>
      <c r="M43" s="416">
        <f t="shared" ref="M43:M69" ca="1" si="10">Temps_fin_propu + ATAN(SQRT(b_bal/g)*V_prop)/SQRT(b_bal*g)</f>
        <v>13.944383064217877</v>
      </c>
    </row>
    <row r="44" spans="1:13" x14ac:dyDescent="0.3">
      <c r="B44" s="426">
        <f t="shared" ca="1" si="0"/>
        <v>54</v>
      </c>
      <c r="C44" s="404">
        <f t="shared" ca="1" si="1"/>
        <v>9.8193227281520882E-4</v>
      </c>
      <c r="D44" s="401">
        <f ca="1">MpropuPlein+0.25*MasseSans</f>
        <v>3.4820000000000002</v>
      </c>
      <c r="E44" s="401">
        <f t="shared" ca="1" si="2"/>
        <v>2.9910000000000001</v>
      </c>
      <c r="F44" s="401">
        <f t="shared" ca="1" si="3"/>
        <v>2.5000000000000004</v>
      </c>
      <c r="G44" s="408">
        <f t="shared" ca="1" si="4"/>
        <v>383.18130725509849</v>
      </c>
      <c r="H44" s="404">
        <f t="shared" ca="1" si="5"/>
        <v>3.2829564453868565E-4</v>
      </c>
      <c r="I44" s="404">
        <f t="shared" ca="1" si="6"/>
        <v>3.9277290912608344E-4</v>
      </c>
      <c r="J44" s="404">
        <f t="shared" ca="1" si="7"/>
        <v>523.07860369902789</v>
      </c>
      <c r="K44" s="411">
        <f t="shared" ca="1" si="8"/>
        <v>582.47508435308862</v>
      </c>
      <c r="L44" s="414">
        <f t="shared" ca="1" si="9"/>
        <v>3934.6225418558392</v>
      </c>
      <c r="M44" s="417">
        <f t="shared" ca="1" si="10"/>
        <v>22.73723544961587</v>
      </c>
    </row>
    <row r="45" spans="1:13" x14ac:dyDescent="0.3">
      <c r="B45" s="426">
        <f t="shared" ca="1" si="0"/>
        <v>54</v>
      </c>
      <c r="C45" s="404">
        <f t="shared" ca="1" si="1"/>
        <v>9.8193227281520882E-4</v>
      </c>
      <c r="D45" s="401">
        <f ca="1">MpropuPlein+0.5*MasseSans</f>
        <v>5.3319999999999999</v>
      </c>
      <c r="E45" s="401">
        <f t="shared" ca="1" si="2"/>
        <v>4.8410000000000002</v>
      </c>
      <c r="F45" s="401">
        <f t="shared" ca="1" si="3"/>
        <v>4.3499999999999996</v>
      </c>
      <c r="G45" s="408">
        <f t="shared" ca="1" si="4"/>
        <v>232.99871720718852</v>
      </c>
      <c r="H45" s="404">
        <f t="shared" ca="1" si="5"/>
        <v>2.0283666036257153E-4</v>
      </c>
      <c r="I45" s="404">
        <f t="shared" ca="1" si="6"/>
        <v>2.2573155696901354E-4</v>
      </c>
      <c r="J45" s="404">
        <f t="shared" ca="1" si="7"/>
        <v>329.28699021775532</v>
      </c>
      <c r="K45" s="411">
        <f t="shared" ca="1" si="8"/>
        <v>378.99797851487187</v>
      </c>
      <c r="L45" s="414">
        <f t="shared" ca="1" si="9"/>
        <v>3562.823317875178</v>
      </c>
      <c r="M45" s="417">
        <f t="shared" ca="1" si="10"/>
        <v>24.393747060201285</v>
      </c>
    </row>
    <row r="46" spans="1:13" x14ac:dyDescent="0.3">
      <c r="B46" s="426">
        <f t="shared" ca="1" si="0"/>
        <v>54</v>
      </c>
      <c r="C46" s="404">
        <f t="shared" ca="1" si="1"/>
        <v>9.8193227281520882E-4</v>
      </c>
      <c r="D46" s="401">
        <f ca="1">MpropuPlein+0.75*MasseSans</f>
        <v>7.1820000000000004</v>
      </c>
      <c r="E46" s="401">
        <f t="shared" ca="1" si="2"/>
        <v>6.6910000000000007</v>
      </c>
      <c r="F46" s="401">
        <f t="shared" ca="1" si="3"/>
        <v>6.2</v>
      </c>
      <c r="G46" s="408">
        <f t="shared" ca="1" si="4"/>
        <v>165.86433866387677</v>
      </c>
      <c r="H46" s="404">
        <f t="shared" ca="1" si="5"/>
        <v>1.4675418813558643E-4</v>
      </c>
      <c r="I46" s="404">
        <f t="shared" ca="1" si="6"/>
        <v>1.583761730347111E-4</v>
      </c>
      <c r="J46" s="404">
        <f t="shared" ca="1" si="7"/>
        <v>236.91555195662238</v>
      </c>
      <c r="K46" s="411">
        <f t="shared" ca="1" si="8"/>
        <v>275.5384367003706</v>
      </c>
      <c r="L46" s="414">
        <f t="shared" ca="1" si="9"/>
        <v>2762.7777607636617</v>
      </c>
      <c r="M46" s="417">
        <f t="shared" ca="1" si="10"/>
        <v>22.914125395463323</v>
      </c>
    </row>
    <row r="47" spans="1:13" x14ac:dyDescent="0.3">
      <c r="B47" s="426">
        <f t="shared" ca="1" si="0"/>
        <v>54</v>
      </c>
      <c r="C47" s="404">
        <f t="shared" ca="1" si="1"/>
        <v>9.8193227281520882E-4</v>
      </c>
      <c r="D47" s="401">
        <f ca="1">MpropuPlein+1*MasseSans</f>
        <v>9.032</v>
      </c>
      <c r="E47" s="401">
        <f t="shared" ca="1" si="2"/>
        <v>8.5410000000000004</v>
      </c>
      <c r="F47" s="401">
        <f t="shared" ca="1" si="3"/>
        <v>8.0500000000000007</v>
      </c>
      <c r="G47" s="408">
        <f t="shared" ca="1" si="4"/>
        <v>127.8128778831518</v>
      </c>
      <c r="H47" s="404">
        <f t="shared" ca="1" si="5"/>
        <v>1.1496689764842628E-4</v>
      </c>
      <c r="I47" s="404">
        <f t="shared" ca="1" si="6"/>
        <v>1.2197916432487065E-4</v>
      </c>
      <c r="J47" s="404">
        <f t="shared" ca="1" si="7"/>
        <v>183.39704005763764</v>
      </c>
      <c r="K47" s="411">
        <f t="shared" ca="1" si="8"/>
        <v>214.25753019315698</v>
      </c>
      <c r="L47" s="414">
        <f t="shared" ca="1" si="9"/>
        <v>2034.4882553587943</v>
      </c>
      <c r="M47" s="417">
        <f t="shared" ca="1" si="10"/>
        <v>20.404335501844866</v>
      </c>
    </row>
    <row r="48" spans="1:13" x14ac:dyDescent="0.3">
      <c r="B48" s="426">
        <f t="shared" ca="1" si="0"/>
        <v>54</v>
      </c>
      <c r="C48" s="404">
        <f t="shared" ca="1" si="1"/>
        <v>9.8193227281520882E-4</v>
      </c>
      <c r="D48" s="401">
        <f ca="1">MpropuPlein+1.25*MasseSans</f>
        <v>10.882</v>
      </c>
      <c r="E48" s="401">
        <f t="shared" ca="1" si="2"/>
        <v>10.391</v>
      </c>
      <c r="F48" s="401">
        <f t="shared" ca="1" si="3"/>
        <v>9.9</v>
      </c>
      <c r="G48" s="408">
        <f t="shared" ca="1" si="4"/>
        <v>103.31068135886822</v>
      </c>
      <c r="H48" s="404">
        <f t="shared" ca="1" si="5"/>
        <v>9.4498342105207283E-5</v>
      </c>
      <c r="I48" s="404">
        <f t="shared" ca="1" si="6"/>
        <v>9.9185078062142301E-5</v>
      </c>
      <c r="J48" s="404">
        <f t="shared" ca="1" si="7"/>
        <v>148.58718431371133</v>
      </c>
      <c r="K48" s="411">
        <f t="shared" ca="1" si="8"/>
        <v>173.99485460043871</v>
      </c>
      <c r="L48" s="414">
        <f t="shared" ca="1" si="9"/>
        <v>1494.7497669867946</v>
      </c>
      <c r="M48" s="417">
        <f t="shared" ca="1" si="10"/>
        <v>17.900363289192907</v>
      </c>
    </row>
    <row r="49" spans="2:13" x14ac:dyDescent="0.3">
      <c r="B49" s="426">
        <f t="shared" ca="1" si="0"/>
        <v>54</v>
      </c>
      <c r="C49" s="404">
        <f t="shared" ca="1" si="1"/>
        <v>9.8193227281520882E-4</v>
      </c>
      <c r="D49" s="401">
        <f ca="1">MpropuPlein+1.5*MasseSans</f>
        <v>12.732000000000001</v>
      </c>
      <c r="E49" s="401">
        <f t="shared" ca="1" si="2"/>
        <v>12.241000000000001</v>
      </c>
      <c r="F49" s="401">
        <f t="shared" ca="1" si="3"/>
        <v>11.750000000000002</v>
      </c>
      <c r="G49" s="408">
        <f t="shared" ca="1" si="4"/>
        <v>86.214589494322325</v>
      </c>
      <c r="H49" s="404">
        <f t="shared" ca="1" si="5"/>
        <v>8.0216671253591101E-5</v>
      </c>
      <c r="I49" s="404">
        <f t="shared" ca="1" si="6"/>
        <v>8.3568704069379455E-5</v>
      </c>
      <c r="J49" s="404">
        <f t="shared" ca="1" si="7"/>
        <v>124.16728747866918</v>
      </c>
      <c r="K49" s="411">
        <f t="shared" ca="1" si="8"/>
        <v>145.59609222421099</v>
      </c>
      <c r="L49" s="414">
        <f t="shared" ca="1" si="9"/>
        <v>1117.4063946925253</v>
      </c>
      <c r="M49" s="417">
        <f t="shared" ca="1" si="10"/>
        <v>15.734064736605156</v>
      </c>
    </row>
    <row r="50" spans="2:13" x14ac:dyDescent="0.3">
      <c r="B50" s="426">
        <f t="shared" ca="1" si="0"/>
        <v>54</v>
      </c>
      <c r="C50" s="404">
        <f t="shared" ca="1" si="1"/>
        <v>9.8193227281520882E-4</v>
      </c>
      <c r="D50" s="401">
        <f ca="1">MpropuPlein+1.75*MasseSans</f>
        <v>14.582000000000001</v>
      </c>
      <c r="E50" s="401">
        <f t="shared" ca="1" si="2"/>
        <v>14.091000000000001</v>
      </c>
      <c r="F50" s="401">
        <f t="shared" ca="1" si="3"/>
        <v>13.600000000000001</v>
      </c>
      <c r="G50" s="408">
        <f t="shared" ca="1" si="4"/>
        <v>73.607571499538679</v>
      </c>
      <c r="H50" s="404">
        <f t="shared" ca="1" si="5"/>
        <v>6.9685066554198331E-5</v>
      </c>
      <c r="I50" s="404">
        <f t="shared" ca="1" si="6"/>
        <v>7.2200902412882992E-5</v>
      </c>
      <c r="J50" s="404">
        <f t="shared" ca="1" si="7"/>
        <v>106.10119082265864</v>
      </c>
      <c r="K50" s="411">
        <f t="shared" ca="1" si="8"/>
        <v>124.51820039590739</v>
      </c>
      <c r="L50" s="414">
        <f t="shared" ca="1" si="9"/>
        <v>854.42670728371809</v>
      </c>
      <c r="M50" s="417">
        <f t="shared" ca="1" si="10"/>
        <v>13.940752492797447</v>
      </c>
    </row>
    <row r="51" spans="2:13" x14ac:dyDescent="0.3">
      <c r="B51" s="427">
        <f t="shared" ca="1" si="0"/>
        <v>54</v>
      </c>
      <c r="C51" s="405">
        <f t="shared" ca="1" si="1"/>
        <v>9.8193227281520882E-4</v>
      </c>
      <c r="D51" s="402">
        <f ca="1">MpropuPlein+2*MasseSans</f>
        <v>16.432000000000002</v>
      </c>
      <c r="E51" s="402">
        <f t="shared" ca="1" si="2"/>
        <v>15.941000000000003</v>
      </c>
      <c r="F51" s="402">
        <f t="shared" ca="1" si="3"/>
        <v>15.450000000000003</v>
      </c>
      <c r="G51" s="409">
        <f t="shared" ca="1" si="4"/>
        <v>63.926716642619624</v>
      </c>
      <c r="H51" s="405">
        <f t="shared" ca="1" si="5"/>
        <v>6.1597909341647866E-5</v>
      </c>
      <c r="I51" s="405">
        <f t="shared" ca="1" si="6"/>
        <v>6.3555486913605732E-5</v>
      </c>
      <c r="J51" s="405">
        <f t="shared" ca="1" si="7"/>
        <v>92.199430929345041</v>
      </c>
      <c r="K51" s="412">
        <f t="shared" ca="1" si="8"/>
        <v>108.26504041025891</v>
      </c>
      <c r="L51" s="415">
        <f t="shared" ca="1" si="9"/>
        <v>668.01959932278942</v>
      </c>
      <c r="M51" s="418">
        <f t="shared" ca="1" si="10"/>
        <v>12.468911648579189</v>
      </c>
    </row>
    <row r="52" spans="2:13" x14ac:dyDescent="0.3">
      <c r="B52" s="425">
        <f t="shared" ref="B52:B60" si="11">D_ref</f>
        <v>100</v>
      </c>
      <c r="C52" s="403">
        <f t="shared" si="1"/>
        <v>3.3673946255665596E-3</v>
      </c>
      <c r="D52" s="400">
        <f ca="1">MpropuPlein+0*MasseSans</f>
        <v>1.6319999999999999</v>
      </c>
      <c r="E52" s="400">
        <f t="shared" ca="1" si="2"/>
        <v>1.141</v>
      </c>
      <c r="F52" s="400">
        <f t="shared" ca="1" si="3"/>
        <v>0.65</v>
      </c>
      <c r="G52" s="407">
        <f t="shared" ca="1" si="4"/>
        <v>1020.3714198071864</v>
      </c>
      <c r="H52" s="403">
        <f t="shared" ca="1" si="5"/>
        <v>2.9512661047910249E-3</v>
      </c>
      <c r="I52" s="403">
        <f t="shared" ca="1" si="6"/>
        <v>5.1806071162562453E-3</v>
      </c>
      <c r="J52" s="403">
        <f t="shared" ca="1" si="7"/>
        <v>765.65703336903414</v>
      </c>
      <c r="K52" s="410">
        <f t="shared" ca="1" si="8"/>
        <v>584.78447067639161</v>
      </c>
      <c r="L52" s="413">
        <f t="shared" ca="1" si="9"/>
        <v>1267.6998729939087</v>
      </c>
      <c r="M52" s="416">
        <f t="shared" ca="1" si="10"/>
        <v>8.3383138307782101</v>
      </c>
    </row>
    <row r="53" spans="2:13" x14ac:dyDescent="0.3">
      <c r="B53" s="426">
        <f t="shared" si="11"/>
        <v>100</v>
      </c>
      <c r="C53" s="404">
        <f t="shared" si="1"/>
        <v>3.3673946255665596E-3</v>
      </c>
      <c r="D53" s="401">
        <f ca="1">MpropuPlein+0.25*MasseSans</f>
        <v>3.4820000000000002</v>
      </c>
      <c r="E53" s="401">
        <f t="shared" ca="1" si="2"/>
        <v>2.9910000000000001</v>
      </c>
      <c r="F53" s="401">
        <f t="shared" ca="1" si="3"/>
        <v>2.5000000000000004</v>
      </c>
      <c r="G53" s="408">
        <f t="shared" ca="1" si="4"/>
        <v>383.18130725509849</v>
      </c>
      <c r="H53" s="404">
        <f t="shared" ca="1" si="5"/>
        <v>1.1258424023960413E-3</v>
      </c>
      <c r="I53" s="404">
        <f t="shared" ca="1" si="6"/>
        <v>1.3469578502266237E-3</v>
      </c>
      <c r="J53" s="404">
        <f t="shared" ca="1" si="7"/>
        <v>466.54613555090901</v>
      </c>
      <c r="K53" s="411">
        <f t="shared" ca="1" si="8"/>
        <v>470.43647637893935</v>
      </c>
      <c r="L53" s="414">
        <f t="shared" ca="1" si="9"/>
        <v>1745.8704653703851</v>
      </c>
      <c r="M53" s="417">
        <f t="shared" ca="1" si="10"/>
        <v>13.803799670435307</v>
      </c>
    </row>
    <row r="54" spans="2:13" x14ac:dyDescent="0.3">
      <c r="B54" s="426">
        <f t="shared" si="11"/>
        <v>100</v>
      </c>
      <c r="C54" s="404">
        <f t="shared" si="1"/>
        <v>3.3673946255665596E-3</v>
      </c>
      <c r="D54" s="401">
        <f ca="1">MpropuPlein+0.5*MasseSans</f>
        <v>5.3319999999999999</v>
      </c>
      <c r="E54" s="401">
        <f t="shared" ca="1" si="2"/>
        <v>4.8410000000000002</v>
      </c>
      <c r="F54" s="401">
        <f t="shared" ca="1" si="3"/>
        <v>4.3499999999999996</v>
      </c>
      <c r="G54" s="408">
        <f t="shared" ca="1" si="4"/>
        <v>232.99871720718852</v>
      </c>
      <c r="H54" s="404">
        <f t="shared" ca="1" si="5"/>
        <v>6.9559897243680216E-4</v>
      </c>
      <c r="I54" s="404">
        <f t="shared" ca="1" si="6"/>
        <v>7.7411370702679539E-4</v>
      </c>
      <c r="J54" s="404">
        <f t="shared" ca="1" si="7"/>
        <v>313.27716118111505</v>
      </c>
      <c r="K54" s="411">
        <f t="shared" ca="1" si="8"/>
        <v>343.9951600861977</v>
      </c>
      <c r="L54" s="414">
        <f t="shared" ca="1" si="9"/>
        <v>1821.9692441365819</v>
      </c>
      <c r="M54" s="417">
        <f t="shared" ca="1" si="10"/>
        <v>16.096084536304165</v>
      </c>
    </row>
    <row r="55" spans="2:13" x14ac:dyDescent="0.3">
      <c r="B55" s="426">
        <f t="shared" si="11"/>
        <v>100</v>
      </c>
      <c r="C55" s="404">
        <f t="shared" si="1"/>
        <v>3.3673946255665596E-3</v>
      </c>
      <c r="D55" s="401">
        <f ca="1">MpropuPlein+0.75*MasseSans</f>
        <v>7.1820000000000004</v>
      </c>
      <c r="E55" s="401">
        <f t="shared" ca="1" si="2"/>
        <v>6.6910000000000007</v>
      </c>
      <c r="F55" s="401">
        <f t="shared" ca="1" si="3"/>
        <v>6.2</v>
      </c>
      <c r="G55" s="408">
        <f t="shared" ca="1" si="4"/>
        <v>165.86433866387677</v>
      </c>
      <c r="H55" s="404">
        <f t="shared" ca="1" si="5"/>
        <v>5.0327225012203845E-4</v>
      </c>
      <c r="I55" s="404">
        <f t="shared" ca="1" si="6"/>
        <v>5.4312816541396121E-4</v>
      </c>
      <c r="J55" s="404">
        <f t="shared" ca="1" si="7"/>
        <v>230.61519548357566</v>
      </c>
      <c r="K55" s="411">
        <f t="shared" ca="1" si="8"/>
        <v>261.2884235928878</v>
      </c>
      <c r="L55" s="414">
        <f t="shared" ca="1" si="9"/>
        <v>1670.7978325738875</v>
      </c>
      <c r="M55" s="417">
        <f t="shared" ca="1" si="10"/>
        <v>16.711293562311379</v>
      </c>
    </row>
    <row r="56" spans="2:13" x14ac:dyDescent="0.3">
      <c r="B56" s="426">
        <f t="shared" si="11"/>
        <v>100</v>
      </c>
      <c r="C56" s="404">
        <f t="shared" si="1"/>
        <v>3.3673946255665596E-3</v>
      </c>
      <c r="D56" s="401">
        <f ca="1">MpropuPlein+1*MasseSans</f>
        <v>9.032</v>
      </c>
      <c r="E56" s="401">
        <f t="shared" ca="1" si="2"/>
        <v>8.5410000000000004</v>
      </c>
      <c r="F56" s="401">
        <f t="shared" ca="1" si="3"/>
        <v>8.0500000000000007</v>
      </c>
      <c r="G56" s="408">
        <f t="shared" ca="1" si="4"/>
        <v>127.8128778831518</v>
      </c>
      <c r="H56" s="404">
        <f t="shared" ca="1" si="5"/>
        <v>3.9426233761463052E-4</v>
      </c>
      <c r="I56" s="404">
        <f t="shared" ca="1" si="6"/>
        <v>4.1830989137472789E-4</v>
      </c>
      <c r="J56" s="404">
        <f t="shared" ca="1" si="7"/>
        <v>180.37355319490382</v>
      </c>
      <c r="K56" s="411">
        <f t="shared" ca="1" si="8"/>
        <v>207.31437450453188</v>
      </c>
      <c r="L56" s="414">
        <f t="shared" ca="1" si="9"/>
        <v>1424.9355924887723</v>
      </c>
      <c r="M56" s="417">
        <f t="shared" ca="1" si="10"/>
        <v>16.289245388318289</v>
      </c>
    </row>
    <row r="57" spans="2:13" x14ac:dyDescent="0.3">
      <c r="B57" s="426">
        <f t="shared" si="11"/>
        <v>100</v>
      </c>
      <c r="C57" s="404">
        <f t="shared" si="1"/>
        <v>3.3673946255665596E-3</v>
      </c>
      <c r="D57" s="401">
        <f ca="1">MpropuPlein+1.25*MasseSans</f>
        <v>10.882</v>
      </c>
      <c r="E57" s="401">
        <f t="shared" ca="1" si="2"/>
        <v>10.391</v>
      </c>
      <c r="F57" s="401">
        <f t="shared" ca="1" si="3"/>
        <v>9.9</v>
      </c>
      <c r="G57" s="408">
        <f t="shared" ca="1" si="4"/>
        <v>103.31068135886822</v>
      </c>
      <c r="H57" s="404">
        <f t="shared" ca="1" si="5"/>
        <v>3.2406838856381096E-4</v>
      </c>
      <c r="I57" s="404">
        <f t="shared" ca="1" si="6"/>
        <v>3.4014087126934943E-4</v>
      </c>
      <c r="J57" s="404">
        <f t="shared" ca="1" si="7"/>
        <v>146.93691672733391</v>
      </c>
      <c r="K57" s="411">
        <f t="shared" ca="1" si="8"/>
        <v>170.17473950689444</v>
      </c>
      <c r="L57" s="414">
        <f t="shared" ca="1" si="9"/>
        <v>1168.8643612905353</v>
      </c>
      <c r="M57" s="417">
        <f t="shared" ca="1" si="10"/>
        <v>15.314202000151745</v>
      </c>
    </row>
    <row r="58" spans="2:13" x14ac:dyDescent="0.3">
      <c r="B58" s="426">
        <f t="shared" si="11"/>
        <v>100</v>
      </c>
      <c r="C58" s="404">
        <f t="shared" si="1"/>
        <v>3.3673946255665596E-3</v>
      </c>
      <c r="D58" s="401">
        <f ca="1">MpropuPlein+1.5*MasseSans</f>
        <v>12.732000000000001</v>
      </c>
      <c r="E58" s="401">
        <f t="shared" ca="1" si="2"/>
        <v>12.241000000000001</v>
      </c>
      <c r="F58" s="401">
        <f t="shared" ca="1" si="3"/>
        <v>11.750000000000002</v>
      </c>
      <c r="G58" s="408">
        <f t="shared" ca="1" si="4"/>
        <v>86.214589494322325</v>
      </c>
      <c r="H58" s="404">
        <f t="shared" ca="1" si="5"/>
        <v>2.7509146520435907E-4</v>
      </c>
      <c r="I58" s="404">
        <f t="shared" ca="1" si="6"/>
        <v>2.8658677664396249E-4</v>
      </c>
      <c r="J58" s="404">
        <f t="shared" ca="1" si="7"/>
        <v>123.18240666455233</v>
      </c>
      <c r="K58" s="411">
        <f t="shared" ca="1" si="8"/>
        <v>143.30552499377055</v>
      </c>
      <c r="L58" s="414">
        <f t="shared" ca="1" si="9"/>
        <v>943.12709451995784</v>
      </c>
      <c r="M58" s="417">
        <f t="shared" ca="1" si="10"/>
        <v>14.12931047940716</v>
      </c>
    </row>
    <row r="59" spans="2:13" x14ac:dyDescent="0.3">
      <c r="B59" s="426">
        <f t="shared" si="11"/>
        <v>100</v>
      </c>
      <c r="C59" s="404">
        <f t="shared" si="1"/>
        <v>3.3673946255665596E-3</v>
      </c>
      <c r="D59" s="401">
        <f ca="1">MpropuPlein+1.75*MasseSans</f>
        <v>14.582000000000001</v>
      </c>
      <c r="E59" s="401">
        <f t="shared" ca="1" si="2"/>
        <v>14.091000000000001</v>
      </c>
      <c r="F59" s="401">
        <f t="shared" ca="1" si="3"/>
        <v>13.600000000000001</v>
      </c>
      <c r="G59" s="408">
        <f t="shared" ca="1" si="4"/>
        <v>73.607571499538679</v>
      </c>
      <c r="H59" s="404">
        <f t="shared" ca="1" si="5"/>
        <v>2.3897485100891062E-4</v>
      </c>
      <c r="I59" s="404">
        <f t="shared" ca="1" si="6"/>
        <v>2.476025459975411E-4</v>
      </c>
      <c r="J59" s="404">
        <f t="shared" ca="1" si="7"/>
        <v>105.47379185823745</v>
      </c>
      <c r="K59" s="411">
        <f t="shared" ca="1" si="8"/>
        <v>123.05469602126151</v>
      </c>
      <c r="L59" s="414">
        <f t="shared" ca="1" si="9"/>
        <v>759.08421887500151</v>
      </c>
      <c r="M59" s="417">
        <f t="shared" ca="1" si="10"/>
        <v>12.934869246662462</v>
      </c>
    </row>
    <row r="60" spans="2:13" x14ac:dyDescent="0.3">
      <c r="B60" s="427">
        <f t="shared" si="11"/>
        <v>100</v>
      </c>
      <c r="C60" s="405">
        <f t="shared" si="1"/>
        <v>3.3673946255665596E-3</v>
      </c>
      <c r="D60" s="402">
        <f ca="1">MpropuPlein+2*MasseSans</f>
        <v>16.432000000000002</v>
      </c>
      <c r="E60" s="402">
        <f t="shared" ca="1" si="2"/>
        <v>15.941000000000003</v>
      </c>
      <c r="F60" s="402">
        <f t="shared" ca="1" si="3"/>
        <v>15.450000000000003</v>
      </c>
      <c r="G60" s="409">
        <f t="shared" ca="1" si="4"/>
        <v>63.926716642619624</v>
      </c>
      <c r="H60" s="405">
        <f t="shared" ca="1" si="5"/>
        <v>2.112411157120983E-4</v>
      </c>
      <c r="I60" s="405">
        <f t="shared" ca="1" si="6"/>
        <v>2.1795434469686466E-4</v>
      </c>
      <c r="J60" s="405">
        <f t="shared" ca="1" si="7"/>
        <v>91.7794469324094</v>
      </c>
      <c r="K60" s="412">
        <f t="shared" ca="1" si="8"/>
        <v>107.28340690638505</v>
      </c>
      <c r="L60" s="415">
        <f t="shared" ca="1" si="9"/>
        <v>614.15416497914396</v>
      </c>
      <c r="M60" s="418">
        <f t="shared" ca="1" si="10"/>
        <v>11.825141683018163</v>
      </c>
    </row>
    <row r="61" spans="2:13" x14ac:dyDescent="0.3">
      <c r="B61" s="425">
        <f t="shared" ref="B61:B69" si="12">D_ref*1.5</f>
        <v>150</v>
      </c>
      <c r="C61" s="403">
        <f t="shared" si="1"/>
        <v>7.57663790752476E-3</v>
      </c>
      <c r="D61" s="400">
        <f ca="1">MpropuPlein+0*MasseSans</f>
        <v>1.6319999999999999</v>
      </c>
      <c r="E61" s="400">
        <f t="shared" ca="1" si="2"/>
        <v>1.141</v>
      </c>
      <c r="F61" s="400">
        <f t="shared" ca="1" si="3"/>
        <v>0.65</v>
      </c>
      <c r="G61" s="407">
        <f t="shared" ca="1" si="4"/>
        <v>1020.3714198071864</v>
      </c>
      <c r="H61" s="403">
        <f t="shared" ca="1" si="5"/>
        <v>6.6403487357798068E-3</v>
      </c>
      <c r="I61" s="403">
        <f t="shared" ca="1" si="6"/>
        <v>1.1656366011576554E-2</v>
      </c>
      <c r="J61" s="403">
        <f t="shared" ca="1" si="7"/>
        <v>562.03379922677595</v>
      </c>
      <c r="K61" s="410">
        <f t="shared" ca="1" si="8"/>
        <v>391.8854912907172</v>
      </c>
      <c r="L61" s="413">
        <f t="shared" ca="1" si="9"/>
        <v>785.60688383911724</v>
      </c>
      <c r="M61" s="416">
        <f t="shared" ca="1" si="10"/>
        <v>6.1266757557450582</v>
      </c>
    </row>
    <row r="62" spans="2:13" x14ac:dyDescent="0.3">
      <c r="B62" s="426">
        <f t="shared" si="12"/>
        <v>150</v>
      </c>
      <c r="C62" s="404">
        <f t="shared" si="1"/>
        <v>7.57663790752476E-3</v>
      </c>
      <c r="D62" s="401">
        <f ca="1">MpropuPlein+0.25*MasseSans</f>
        <v>3.4820000000000002</v>
      </c>
      <c r="E62" s="401">
        <f t="shared" ca="1" si="2"/>
        <v>2.9910000000000001</v>
      </c>
      <c r="F62" s="401">
        <f t="shared" ca="1" si="3"/>
        <v>2.5000000000000004</v>
      </c>
      <c r="G62" s="408">
        <f t="shared" ca="1" si="4"/>
        <v>383.18130725509849</v>
      </c>
      <c r="H62" s="404">
        <f t="shared" ca="1" si="5"/>
        <v>2.5331454053910932E-3</v>
      </c>
      <c r="I62" s="404">
        <f t="shared" ca="1" si="6"/>
        <v>3.0306551630099035E-3</v>
      </c>
      <c r="J62" s="404">
        <f t="shared" ca="1" si="7"/>
        <v>401.16713450228872</v>
      </c>
      <c r="K62" s="411">
        <f t="shared" ca="1" si="8"/>
        <v>362.55823689982969</v>
      </c>
      <c r="L62" s="414">
        <f t="shared" ca="1" si="9"/>
        <v>1016.2681652306067</v>
      </c>
      <c r="M62" s="417">
        <f t="shared" ca="1" si="10"/>
        <v>9.9072424957911398</v>
      </c>
    </row>
    <row r="63" spans="2:13" x14ac:dyDescent="0.3">
      <c r="B63" s="426">
        <f t="shared" si="12"/>
        <v>150</v>
      </c>
      <c r="C63" s="404">
        <f t="shared" si="1"/>
        <v>7.57663790752476E-3</v>
      </c>
      <c r="D63" s="401">
        <f ca="1">MpropuPlein+0.5*MasseSans</f>
        <v>5.3319999999999999</v>
      </c>
      <c r="E63" s="401">
        <f t="shared" ca="1" si="2"/>
        <v>4.8410000000000002</v>
      </c>
      <c r="F63" s="401">
        <f t="shared" ca="1" si="3"/>
        <v>4.3499999999999996</v>
      </c>
      <c r="G63" s="408">
        <f t="shared" ca="1" si="4"/>
        <v>232.99871720718852</v>
      </c>
      <c r="H63" s="404">
        <f t="shared" ca="1" si="5"/>
        <v>1.5650976879828052E-3</v>
      </c>
      <c r="I63" s="404">
        <f t="shared" ca="1" si="6"/>
        <v>1.7417558408102899E-3</v>
      </c>
      <c r="J63" s="404">
        <f t="shared" ca="1" si="7"/>
        <v>290.19080993155728</v>
      </c>
      <c r="K63" s="411">
        <f t="shared" ca="1" si="8"/>
        <v>298.07465446903143</v>
      </c>
      <c r="L63" s="414">
        <f t="shared" ca="1" si="9"/>
        <v>1099.6864489158829</v>
      </c>
      <c r="M63" s="417">
        <f t="shared" ca="1" si="10"/>
        <v>11.829960201134694</v>
      </c>
    </row>
    <row r="64" spans="2:13" x14ac:dyDescent="0.3">
      <c r="B64" s="426">
        <f t="shared" si="12"/>
        <v>150</v>
      </c>
      <c r="C64" s="404">
        <f t="shared" si="1"/>
        <v>7.57663790752476E-3</v>
      </c>
      <c r="D64" s="401">
        <f ca="1">MpropuPlein+0.75*MasseSans</f>
        <v>7.1820000000000004</v>
      </c>
      <c r="E64" s="401">
        <f t="shared" ca="1" si="2"/>
        <v>6.6910000000000007</v>
      </c>
      <c r="F64" s="401">
        <f t="shared" ca="1" si="3"/>
        <v>6.2</v>
      </c>
      <c r="G64" s="408">
        <f t="shared" ca="1" si="4"/>
        <v>165.86433866387677</v>
      </c>
      <c r="H64" s="404">
        <f t="shared" ca="1" si="5"/>
        <v>1.1323625627745867E-3</v>
      </c>
      <c r="I64" s="404">
        <f t="shared" ca="1" si="6"/>
        <v>1.2220383721814128E-3</v>
      </c>
      <c r="J64" s="404">
        <f t="shared" ca="1" si="7"/>
        <v>220.68987324620409</v>
      </c>
      <c r="K64" s="411">
        <f t="shared" ca="1" si="8"/>
        <v>240.03406572242031</v>
      </c>
      <c r="L64" s="414">
        <f t="shared" ca="1" si="9"/>
        <v>1080.4677160567937</v>
      </c>
      <c r="M64" s="417">
        <f t="shared" ca="1" si="10"/>
        <v>12.783562534863885</v>
      </c>
    </row>
    <row r="65" spans="2:13" x14ac:dyDescent="0.3">
      <c r="B65" s="426">
        <f t="shared" si="12"/>
        <v>150</v>
      </c>
      <c r="C65" s="404">
        <f t="shared" si="1"/>
        <v>7.57663790752476E-3</v>
      </c>
      <c r="D65" s="401">
        <f ca="1">MpropuPlein+1*MasseSans</f>
        <v>9.032</v>
      </c>
      <c r="E65" s="401">
        <f t="shared" ca="1" si="2"/>
        <v>8.5410000000000004</v>
      </c>
      <c r="F65" s="401">
        <f t="shared" ca="1" si="3"/>
        <v>8.0500000000000007</v>
      </c>
      <c r="G65" s="408">
        <f t="shared" ca="1" si="4"/>
        <v>127.8128778831518</v>
      </c>
      <c r="H65" s="404">
        <f t="shared" ca="1" si="5"/>
        <v>8.8709025963291878E-4</v>
      </c>
      <c r="I65" s="404">
        <f t="shared" ca="1" si="6"/>
        <v>9.4119725559313775E-4</v>
      </c>
      <c r="J65" s="404">
        <f t="shared" ca="1" si="7"/>
        <v>175.40537086982999</v>
      </c>
      <c r="K65" s="411">
        <f t="shared" ca="1" si="8"/>
        <v>196.29583657092664</v>
      </c>
      <c r="L65" s="414">
        <f t="shared" ca="1" si="9"/>
        <v>997.17555364382576</v>
      </c>
      <c r="M65" s="417">
        <f t="shared" ca="1" si="10"/>
        <v>13.056127822330144</v>
      </c>
    </row>
    <row r="66" spans="2:13" x14ac:dyDescent="0.3">
      <c r="B66" s="426">
        <f t="shared" si="12"/>
        <v>150</v>
      </c>
      <c r="C66" s="404">
        <f t="shared" si="1"/>
        <v>7.57663790752476E-3</v>
      </c>
      <c r="D66" s="401">
        <f ca="1">MpropuPlein+1.25*MasseSans</f>
        <v>10.882</v>
      </c>
      <c r="E66" s="401">
        <f t="shared" ca="1" si="2"/>
        <v>10.391</v>
      </c>
      <c r="F66" s="401">
        <f t="shared" ca="1" si="3"/>
        <v>9.9</v>
      </c>
      <c r="G66" s="408">
        <f t="shared" ca="1" si="4"/>
        <v>103.31068135886822</v>
      </c>
      <c r="H66" s="404">
        <f t="shared" ca="1" si="5"/>
        <v>7.2915387426857471E-4</v>
      </c>
      <c r="I66" s="404">
        <f t="shared" ca="1" si="6"/>
        <v>7.6531696035603638E-4</v>
      </c>
      <c r="J66" s="404">
        <f t="shared" ca="1" si="7"/>
        <v>144.16240541790933</v>
      </c>
      <c r="K66" s="411">
        <f t="shared" ca="1" si="8"/>
        <v>163.9032607289405</v>
      </c>
      <c r="L66" s="414">
        <f t="shared" ca="1" si="9"/>
        <v>882.44654061346762</v>
      </c>
      <c r="M66" s="417">
        <f t="shared" ca="1" si="10"/>
        <v>12.852100125035514</v>
      </c>
    </row>
    <row r="67" spans="2:13" x14ac:dyDescent="0.3">
      <c r="B67" s="426">
        <f t="shared" si="12"/>
        <v>150</v>
      </c>
      <c r="C67" s="404">
        <f t="shared" si="1"/>
        <v>7.57663790752476E-3</v>
      </c>
      <c r="D67" s="401">
        <f ca="1">MpropuPlein+1.5*MasseSans</f>
        <v>12.732000000000001</v>
      </c>
      <c r="E67" s="401">
        <f t="shared" ca="1" si="2"/>
        <v>12.241000000000001</v>
      </c>
      <c r="F67" s="401">
        <f t="shared" ca="1" si="3"/>
        <v>11.750000000000002</v>
      </c>
      <c r="G67" s="408">
        <f t="shared" ca="1" si="4"/>
        <v>86.214589494322325</v>
      </c>
      <c r="H67" s="404">
        <f t="shared" ca="1" si="5"/>
        <v>6.1895579670980796E-4</v>
      </c>
      <c r="I67" s="404">
        <f t="shared" ca="1" si="6"/>
        <v>6.4482024744891568E-4</v>
      </c>
      <c r="J67" s="404">
        <f t="shared" ca="1" si="7"/>
        <v>121.50379133044635</v>
      </c>
      <c r="K67" s="411">
        <f t="shared" ca="1" si="8"/>
        <v>139.46790823198614</v>
      </c>
      <c r="L67" s="414">
        <f t="shared" ca="1" si="9"/>
        <v>760.08481176006558</v>
      </c>
      <c r="M67" s="417">
        <f t="shared" ca="1" si="10"/>
        <v>12.345436755701238</v>
      </c>
    </row>
    <row r="68" spans="2:13" x14ac:dyDescent="0.3">
      <c r="B68" s="426">
        <f t="shared" si="12"/>
        <v>150</v>
      </c>
      <c r="C68" s="404">
        <f t="shared" si="1"/>
        <v>7.57663790752476E-3</v>
      </c>
      <c r="D68" s="401">
        <f ca="1">MpropuPlein+1.75*MasseSans</f>
        <v>14.582000000000001</v>
      </c>
      <c r="E68" s="401">
        <f t="shared" ca="1" si="2"/>
        <v>14.091000000000001</v>
      </c>
      <c r="F68" s="401">
        <f t="shared" ca="1" si="3"/>
        <v>13.600000000000001</v>
      </c>
      <c r="G68" s="408">
        <f t="shared" ca="1" si="4"/>
        <v>73.607571499538679</v>
      </c>
      <c r="H68" s="404">
        <f t="shared" ca="1" si="5"/>
        <v>5.3769341477004893E-4</v>
      </c>
      <c r="I68" s="404">
        <f t="shared" ca="1" si="6"/>
        <v>5.5710572849446756E-4</v>
      </c>
      <c r="J68" s="404">
        <f t="shared" ca="1" si="7"/>
        <v>104.39506154110379</v>
      </c>
      <c r="K68" s="411">
        <f t="shared" ca="1" si="8"/>
        <v>120.57054273593612</v>
      </c>
      <c r="L68" s="414">
        <f t="shared" ca="1" si="9"/>
        <v>644.58811999300531</v>
      </c>
      <c r="M68" s="417">
        <f t="shared" ca="1" si="10"/>
        <v>11.676720544014618</v>
      </c>
    </row>
    <row r="69" spans="2:13" x14ac:dyDescent="0.3">
      <c r="B69" s="427">
        <f t="shared" si="12"/>
        <v>150</v>
      </c>
      <c r="C69" s="405">
        <f t="shared" si="1"/>
        <v>7.57663790752476E-3</v>
      </c>
      <c r="D69" s="402">
        <f ca="1">MpropuPlein+2*MasseSans</f>
        <v>16.432000000000002</v>
      </c>
      <c r="E69" s="402">
        <f t="shared" ca="1" si="2"/>
        <v>15.941000000000003</v>
      </c>
      <c r="F69" s="402">
        <f t="shared" ca="1" si="3"/>
        <v>15.450000000000003</v>
      </c>
      <c r="G69" s="409">
        <f t="shared" ca="1" si="4"/>
        <v>63.926716642619624</v>
      </c>
      <c r="H69" s="405">
        <f t="shared" ca="1" si="5"/>
        <v>4.7529251035222125E-4</v>
      </c>
      <c r="I69" s="405">
        <f t="shared" ca="1" si="6"/>
        <v>4.9039727556794558E-4</v>
      </c>
      <c r="J69" s="405">
        <f t="shared" ca="1" si="7"/>
        <v>91.05305419519604</v>
      </c>
      <c r="K69" s="412">
        <f t="shared" ca="1" si="8"/>
        <v>105.60240009470972</v>
      </c>
      <c r="L69" s="415">
        <f t="shared" ca="1" si="9"/>
        <v>542.79590643447978</v>
      </c>
      <c r="M69" s="418">
        <f t="shared" ca="1" si="10"/>
        <v>10.94668872934885</v>
      </c>
    </row>
    <row r="73" spans="2:13" x14ac:dyDescent="0.3">
      <c r="B73" s="24" t="str">
        <f>IF(Lang="Français","Textes pour les graphiques :","Texts for graphics :")</f>
        <v>Textes pour les graphiques :</v>
      </c>
    </row>
    <row r="75" spans="2:13" x14ac:dyDescent="0.3">
      <c r="B75" t="str">
        <f>IF(Lang="Français","Masse totale",IF(Lang="English","Total Mass",""))</f>
        <v>Masse totale</v>
      </c>
    </row>
    <row r="76" spans="2:13" x14ac:dyDescent="0.3">
      <c r="B76" t="str">
        <f>IF(Lang="Français","Vitesse max",IF(Lang="English","Max Velocity",""))</f>
        <v>Vitesse max</v>
      </c>
    </row>
    <row r="77" spans="2:13" x14ac:dyDescent="0.3">
      <c r="B77" t="str">
        <f>Abaco!$B$76 &amp; " / " &amp; Abaco!$B$75</f>
        <v>Vitesse max / Masse totale</v>
      </c>
    </row>
    <row r="78" spans="2:13" x14ac:dyDescent="0.3">
      <c r="B78" t="str">
        <f>IF(Lang="Français","Altitude max",IF(Lang="English","Max Altitude",""))</f>
        <v>Altitude max</v>
      </c>
    </row>
    <row r="79" spans="2:13" x14ac:dyDescent="0.3">
      <c r="B79" t="str">
        <f>Abaco!$B$78 &amp; " / " &amp; Abaco!$B$75</f>
        <v>Altitude max / Masse totale</v>
      </c>
    </row>
    <row r="80" spans="2:13" x14ac:dyDescent="0.3">
      <c r="B80" t="str">
        <f>IF(Lang="Français","Temps de culmination",IF(Lang="English","Apogee time",""))</f>
        <v>Temps de culmination</v>
      </c>
    </row>
    <row r="81" spans="2:2" x14ac:dyDescent="0.3">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386443</xdr:colOff>
                <xdr:row>70</xdr:row>
                <xdr:rowOff>27214</xdr:rowOff>
              </from>
              <to>
                <xdr:col>12</xdr:col>
                <xdr:colOff>903514</xdr:colOff>
                <xdr:row>87</xdr:row>
                <xdr:rowOff>10886</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653143</xdr:colOff>
                    <xdr:row>9</xdr:row>
                    <xdr:rowOff>195943</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653143</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defaultColWidth="11.07421875" defaultRowHeight="12.45" x14ac:dyDescent="0.3"/>
  <cols>
    <col min="1" max="1" width="2.15234375" customWidth="1"/>
    <col min="2" max="2" width="16.15234375" customWidth="1"/>
    <col min="3" max="4" width="13.61328125" customWidth="1"/>
  </cols>
  <sheetData>
    <row r="2" spans="3:8" x14ac:dyDescent="0.3">
      <c r="C2" s="598" t="s">
        <v>178</v>
      </c>
      <c r="D2" s="598"/>
    </row>
    <row r="3" spans="3:8" x14ac:dyDescent="0.3">
      <c r="C3" s="598"/>
      <c r="D3" s="598"/>
    </row>
    <row r="5" spans="3:8" x14ac:dyDescent="0.3">
      <c r="C5" s="13" t="str">
        <f>IF(Lang="Français","Stabilité de fusée à ailerons","Stability of finned rocket")</f>
        <v>Stabilité de fusée à ailerons</v>
      </c>
    </row>
    <row r="6" spans="3:8" x14ac:dyDescent="0.3">
      <c r="C6" s="2" t="str">
        <f>IF(Lang="Français","Calculs de Stabilité basés sur les équations de Barrowman","Stability calculs are based on Barrowman equations")</f>
        <v>Calculs de Stabilité basés sur les équations de Barrowman</v>
      </c>
    </row>
    <row r="7" spans="3:8" x14ac:dyDescent="0.3">
      <c r="C7" s="13" t="str">
        <f>IF(Lang="Français","Trajectographie de fusée","Rocket Trajectography")</f>
        <v>Trajectographie de fusée</v>
      </c>
    </row>
    <row r="8" spans="3:8" x14ac:dyDescent="0.3">
      <c r="C8" s="2" t="str">
        <f>IF(Lang="Français","Trajectoire dans un plan par calcul pas à pas","Trajectory in a plane, step by step computation")</f>
        <v>Trajectoire dans un plan par calcul pas à pas</v>
      </c>
    </row>
    <row r="9" spans="3:8" x14ac:dyDescent="0.3">
      <c r="C9" s="2"/>
    </row>
    <row r="10" spans="3:8" x14ac:dyDescent="0.3">
      <c r="C10" s="14" t="str">
        <f>IF(Lang="Français","Documentation et équations :","Documentation and equations are aviable in french:")</f>
        <v>Documentation et équations :</v>
      </c>
    </row>
    <row r="11" spans="3:8" x14ac:dyDescent="0.3">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3">
      <c r="C12" t="str">
        <f>IF(Lang="Français","Néanmoins, les équations d'intégration du mouvement utilisées sont légèrement différentes !","")</f>
        <v>Néanmoins, les équations d'intégration du mouvement utilisées sont légèrement différentes !</v>
      </c>
    </row>
    <row r="13" spans="3:8" x14ac:dyDescent="0.3">
      <c r="C13" t="str">
        <f>IF(Lang="Français","Logiciels et dossier technique téléchargeables sur :","Softwares and french documentation can be downloaded at:")</f>
        <v>Logiciels et dossier technique téléchargeables sur :</v>
      </c>
      <c r="H13" s="15" t="s">
        <v>39</v>
      </c>
    </row>
    <row r="15" spans="3:8" x14ac:dyDescent="0.3">
      <c r="C15" s="14" t="str">
        <f>IF(Lang="Français","Pour les experts :","For experts:")</f>
        <v>Pour les experts :</v>
      </c>
    </row>
    <row r="16" spans="3:8" x14ac:dyDescent="0.3">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3">
      <c r="C17" t="str">
        <f>IF(Lang="Français","et faire vos modifications personnelles (ajout de moteur...).","and do your personal modification (adding a motor...)")</f>
        <v>et faire vos modifications personnelles (ajout de moteur...).</v>
      </c>
    </row>
    <row r="18" spans="3:8" x14ac:dyDescent="0.3">
      <c r="C18" t="s">
        <v>417</v>
      </c>
    </row>
    <row r="19" spans="3:8" x14ac:dyDescent="0.3">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3">
      <c r="C20" t="str">
        <f>IF(Lang="Français","Aucune Macro. Mise en forme conditionnelle, Noms de zone.","No macro. Conditionnal formating, named zones.")</f>
        <v>Aucune Macro. Mise en forme conditionnelle, Noms de zone.</v>
      </c>
    </row>
    <row r="21" spans="3:8" x14ac:dyDescent="0.3">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3">
      <c r="C22" s="48" t="str">
        <f>IF(Lang="Français","Les unités sont réglés dans le Format de la cellule.","Units are set in cell number Format")</f>
        <v>Les unités sont réglés dans le Format de la cellule.</v>
      </c>
      <c r="H22" s="15" t="s">
        <v>37</v>
      </c>
    </row>
    <row r="23" spans="3:8" x14ac:dyDescent="0.3">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3">
      <c r="C25" s="14" t="str">
        <f>IF(Lang="Français","Licence :","License:")</f>
        <v>Licence :</v>
      </c>
      <c r="D25" s="16"/>
    </row>
    <row r="26" spans="3:8" x14ac:dyDescent="0.3">
      <c r="C26" t="str">
        <f>IF(Lang="Français","Ce logiciel est placé sous la licence Creative Commons BY-SA","This software is placed under Creative Commons licence BY-SA")</f>
        <v>Ce logiciel est placé sous la licence Creative Commons BY-SA</v>
      </c>
      <c r="H26" s="68" t="s">
        <v>122</v>
      </c>
    </row>
    <row r="28" spans="3:8" x14ac:dyDescent="0.3">
      <c r="C28" s="14" t="str">
        <f>IF(Lang="Français","Compatibilité :","Compatibility:")</f>
        <v>Compatibilité :</v>
      </c>
    </row>
    <row r="29" spans="3:8" x14ac:dyDescent="0.3">
      <c r="C29" t="s">
        <v>152</v>
      </c>
    </row>
    <row r="30" spans="3:8" x14ac:dyDescent="0.3">
      <c r="C30" t="s">
        <v>299</v>
      </c>
    </row>
    <row r="31" spans="3:8" x14ac:dyDescent="0.3">
      <c r="C31" s="49" t="s">
        <v>110</v>
      </c>
    </row>
    <row r="33" spans="3:6" x14ac:dyDescent="0.3">
      <c r="C33" s="14" t="str">
        <f>IF(Lang="Français","Historique :","History:")</f>
        <v>Historique :</v>
      </c>
    </row>
    <row r="34" spans="3:6" x14ac:dyDescent="0.3">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3">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3">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3">
      <c r="C37" t="s">
        <v>105</v>
      </c>
      <c r="D37" t="s">
        <v>42</v>
      </c>
      <c r="E37" s="16">
        <v>39694</v>
      </c>
      <c r="F37" t="str">
        <f>IF(Lang="Français","Mise en forme","Formatting")</f>
        <v>Mise en forme</v>
      </c>
    </row>
    <row r="38" spans="3:6" x14ac:dyDescent="0.3">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3">
      <c r="C39" t="s">
        <v>107</v>
      </c>
      <c r="D39" t="s">
        <v>42</v>
      </c>
      <c r="E39" s="16">
        <v>39755</v>
      </c>
      <c r="F39" t="str">
        <f>IF(Lang="Français","Réécriture équations, traduction, érgonomie","Equations, traduction, ergonomy")</f>
        <v>Réécriture équations, traduction, érgonomie</v>
      </c>
    </row>
    <row r="40" spans="3:6" x14ac:dyDescent="0.3">
      <c r="C40" t="s">
        <v>108</v>
      </c>
      <c r="D40" t="s">
        <v>42</v>
      </c>
      <c r="E40" s="16">
        <v>39756</v>
      </c>
      <c r="F40" t="str">
        <f>IF(Lang="Français","Conditions Initiales pour vol 2e étage, 1ère publication","Initial Conditions, 1st publication")</f>
        <v>Conditions Initiales pour vol 2e étage, 1ère publication</v>
      </c>
    </row>
    <row r="41" spans="3:6" x14ac:dyDescent="0.3">
      <c r="C41" t="s">
        <v>109</v>
      </c>
      <c r="D41" t="s">
        <v>42</v>
      </c>
      <c r="E41" s="16">
        <v>40658</v>
      </c>
      <c r="F41" t="s">
        <v>52</v>
      </c>
    </row>
    <row r="42" spans="3:6" x14ac:dyDescent="0.3">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3">
      <c r="C43" t="s">
        <v>325</v>
      </c>
      <c r="D43" t="s">
        <v>42</v>
      </c>
      <c r="E43" s="16">
        <v>41194</v>
      </c>
      <c r="F43" t="s">
        <v>329</v>
      </c>
    </row>
    <row r="44" spans="3:6" x14ac:dyDescent="0.3">
      <c r="C44" t="s">
        <v>326</v>
      </c>
      <c r="D44" t="s">
        <v>42</v>
      </c>
      <c r="E44" s="16">
        <v>41329</v>
      </c>
      <c r="F44" t="s">
        <v>330</v>
      </c>
    </row>
    <row r="45" spans="3:6" x14ac:dyDescent="0.3">
      <c r="C45" t="s">
        <v>414</v>
      </c>
      <c r="D45" t="s">
        <v>393</v>
      </c>
      <c r="E45" s="16">
        <v>41947</v>
      </c>
      <c r="F45" t="s">
        <v>413</v>
      </c>
    </row>
    <row r="46" spans="3:6" x14ac:dyDescent="0.3">
      <c r="C46" t="s">
        <v>418</v>
      </c>
      <c r="D46" t="s">
        <v>393</v>
      </c>
      <c r="E46" s="16">
        <v>41965</v>
      </c>
      <c r="F46" t="s">
        <v>416</v>
      </c>
    </row>
    <row r="47" spans="3:6" x14ac:dyDescent="0.3">
      <c r="C47" t="s">
        <v>540</v>
      </c>
      <c r="D47" t="s">
        <v>393</v>
      </c>
      <c r="E47" s="16">
        <v>43048</v>
      </c>
      <c r="F47" t="s">
        <v>541</v>
      </c>
    </row>
    <row r="48" spans="3:6" x14ac:dyDescent="0.3">
      <c r="C48" t="s">
        <v>544</v>
      </c>
      <c r="D48" t="s">
        <v>393</v>
      </c>
      <c r="E48" s="16">
        <v>44160</v>
      </c>
      <c r="F48" t="s">
        <v>545</v>
      </c>
    </row>
    <row r="49" spans="3:6" x14ac:dyDescent="0.3">
      <c r="C49" t="s">
        <v>553</v>
      </c>
      <c r="D49" t="s">
        <v>551</v>
      </c>
      <c r="E49" s="16">
        <v>45300</v>
      </c>
      <c r="F49" t="s">
        <v>552</v>
      </c>
    </row>
    <row r="50" spans="3:6" x14ac:dyDescent="0.3">
      <c r="C50" t="s">
        <v>555</v>
      </c>
      <c r="D50" t="s">
        <v>393</v>
      </c>
      <c r="E50" s="16">
        <v>45322</v>
      </c>
      <c r="F50" t="s">
        <v>560</v>
      </c>
    </row>
    <row r="51" spans="3:6" x14ac:dyDescent="0.3">
      <c r="C51" t="s">
        <v>564</v>
      </c>
      <c r="D51" t="s">
        <v>393</v>
      </c>
      <c r="E51" s="16">
        <v>45325</v>
      </c>
      <c r="F51" t="s">
        <v>563</v>
      </c>
    </row>
    <row r="52" spans="3:6" x14ac:dyDescent="0.3">
      <c r="E52" s="16"/>
    </row>
    <row r="53" spans="3:6" x14ac:dyDescent="0.3">
      <c r="C53" s="14" t="str">
        <f>IF(Lang="Français","Paramètres de référence :","Reference parameters:")</f>
        <v>Paramètres de référence :</v>
      </c>
    </row>
    <row r="54" spans="3:6" x14ac:dyDescent="0.3">
      <c r="C54" s="62" t="str">
        <f>IF(Lang="Français","Gravité g :","Gravity g")</f>
        <v>Gravité g :</v>
      </c>
      <c r="E54" s="62">
        <v>9.81</v>
      </c>
      <c r="F54" s="62" t="s">
        <v>7</v>
      </c>
    </row>
    <row r="55" spans="3:6" x14ac:dyDescent="0.3">
      <c r="C55" s="62" t="str">
        <f>IF(Lang="Français","Masse volumique de l'air ρ :","Air density ρ")</f>
        <v>Masse volumique de l'air ρ :</v>
      </c>
      <c r="E55" s="63">
        <v>1.2250000000000001</v>
      </c>
      <c r="F55" s="62" t="s">
        <v>8</v>
      </c>
    </row>
    <row r="56" spans="3:6" x14ac:dyDescent="0.3">
      <c r="C56" s="48"/>
    </row>
    <row r="57" spans="3:6" x14ac:dyDescent="0.3">
      <c r="C57" s="48"/>
    </row>
    <row r="58" spans="3:6" x14ac:dyDescent="0.3">
      <c r="C58" s="48"/>
    </row>
    <row r="59" spans="3:6" x14ac:dyDescent="0.3">
      <c r="C59" s="48"/>
    </row>
    <row r="60" spans="3:6" x14ac:dyDescent="0.3">
      <c r="C60" s="48"/>
    </row>
    <row r="61" spans="3:6" x14ac:dyDescent="0.3">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defaultColWidth="11.61328125" defaultRowHeight="12.45" x14ac:dyDescent="0.3"/>
  <cols>
    <col min="1" max="2" width="2.15234375" customWidth="1"/>
    <col min="3" max="3" width="12.61328125" customWidth="1"/>
    <col min="4" max="4" width="21" customWidth="1"/>
    <col min="7" max="7" width="26.61328125" customWidth="1"/>
    <col min="8" max="9" width="6.84375" customWidth="1"/>
    <col min="10" max="10" width="10" customWidth="1"/>
    <col min="11" max="11" width="13" customWidth="1"/>
    <col min="12" max="12" width="21.15234375" customWidth="1"/>
    <col min="14" max="14" width="2.15234375" customWidth="1"/>
    <col min="18" max="19" width="16.15234375" customWidth="1"/>
  </cols>
  <sheetData>
    <row r="1" spans="2:21" ht="12.9" thickBot="1" x14ac:dyDescent="0.35">
      <c r="O1" s="6"/>
      <c r="P1" s="48"/>
      <c r="Q1" s="48"/>
      <c r="R1" s="48"/>
      <c r="S1" s="48"/>
      <c r="T1" s="48"/>
      <c r="U1" s="48"/>
    </row>
    <row r="2" spans="2:21" ht="12.9" thickBot="1" x14ac:dyDescent="0.35">
      <c r="B2" s="71"/>
      <c r="C2" s="72"/>
      <c r="D2" s="72"/>
      <c r="E2" s="72"/>
      <c r="F2" s="72"/>
      <c r="G2" s="72"/>
      <c r="H2" s="72"/>
      <c r="I2" s="72"/>
      <c r="J2" s="72"/>
      <c r="K2" s="72"/>
      <c r="L2" s="72"/>
      <c r="M2" s="72"/>
      <c r="N2" s="73"/>
      <c r="O2" s="6"/>
      <c r="P2" s="48"/>
      <c r="Q2" s="48"/>
      <c r="R2" s="48"/>
      <c r="S2" s="48"/>
      <c r="T2" s="48"/>
      <c r="U2" s="48"/>
    </row>
    <row r="3" spans="2:21" ht="15.75" customHeight="1" thickBot="1" x14ac:dyDescent="0.35">
      <c r="B3" s="74"/>
      <c r="D3" s="2" t="s">
        <v>427</v>
      </c>
      <c r="N3" s="75"/>
      <c r="O3" s="6"/>
      <c r="P3" s="273" t="s">
        <v>338</v>
      </c>
      <c r="Q3" s="441">
        <f>Long_ogive</f>
        <v>35</v>
      </c>
      <c r="R3" s="48"/>
      <c r="S3" s="48"/>
      <c r="T3" s="48"/>
      <c r="U3" s="48"/>
    </row>
    <row r="4" spans="2:21" ht="15.75" customHeight="1" x14ac:dyDescent="0.3">
      <c r="B4" s="74"/>
      <c r="D4" s="2" t="s">
        <v>562</v>
      </c>
      <c r="E4" t="str">
        <f>Matricule</f>
        <v>FX10</v>
      </c>
      <c r="N4" s="75"/>
      <c r="O4" s="6"/>
      <c r="P4" s="273"/>
      <c r="Q4" s="436"/>
      <c r="R4" s="48"/>
      <c r="S4" s="48"/>
      <c r="T4" s="48"/>
      <c r="U4" s="48"/>
    </row>
    <row r="5" spans="2:21" ht="15.75" customHeight="1" x14ac:dyDescent="0.3">
      <c r="B5" s="74"/>
      <c r="D5" t="s">
        <v>460</v>
      </c>
      <c r="E5" t="str">
        <f>Propu</f>
        <v>Pro54-5G WT</v>
      </c>
      <c r="G5" t="s">
        <v>457</v>
      </c>
      <c r="H5">
        <f>MasseSans</f>
        <v>7.4</v>
      </c>
      <c r="N5" s="75"/>
      <c r="O5" s="6"/>
      <c r="P5" s="273"/>
      <c r="Q5" s="436"/>
      <c r="R5" s="48"/>
      <c r="S5" s="48"/>
      <c r="T5" s="48"/>
      <c r="U5" s="48"/>
    </row>
    <row r="6" spans="2:21" x14ac:dyDescent="0.3">
      <c r="B6" s="74"/>
      <c r="D6" t="s">
        <v>453</v>
      </c>
      <c r="E6" s="2" t="str">
        <f>Trajecto!H34</f>
        <v>Blanc - Corps:Français</v>
      </c>
      <c r="G6" t="s">
        <v>458</v>
      </c>
      <c r="H6">
        <f>D_ref</f>
        <v>100</v>
      </c>
      <c r="N6" s="75"/>
      <c r="O6" s="6"/>
      <c r="P6" s="273"/>
      <c r="Q6" s="436"/>
      <c r="R6" s="48"/>
      <c r="S6" s="48"/>
      <c r="T6" s="48"/>
      <c r="U6" s="48"/>
    </row>
    <row r="7" spans="2:21" x14ac:dyDescent="0.3">
      <c r="B7" s="74"/>
      <c r="D7" t="s">
        <v>455</v>
      </c>
      <c r="E7" s="2" t="str">
        <f>Trajecto!H35</f>
        <v>Rouge/Blanc</v>
      </c>
      <c r="G7" t="s">
        <v>5</v>
      </c>
      <c r="H7">
        <f>Cx</f>
        <v>0.7</v>
      </c>
      <c r="N7" s="75"/>
      <c r="O7" s="6"/>
      <c r="P7" s="273"/>
      <c r="Q7" s="436"/>
      <c r="R7" s="48"/>
      <c r="S7" s="48"/>
      <c r="T7" s="48"/>
      <c r="U7" s="48"/>
    </row>
    <row r="8" spans="2:21" x14ac:dyDescent="0.3">
      <c r="B8" s="74"/>
      <c r="D8" t="s">
        <v>456</v>
      </c>
      <c r="E8" s="2">
        <f>S_para</f>
        <v>1.99</v>
      </c>
      <c r="G8" t="s">
        <v>459</v>
      </c>
      <c r="H8">
        <f>L_rampe</f>
        <v>4</v>
      </c>
      <c r="N8" s="75"/>
      <c r="O8" s="6"/>
      <c r="P8" s="273"/>
      <c r="Q8" s="436"/>
      <c r="R8" s="48"/>
      <c r="S8" s="48"/>
      <c r="T8" s="48"/>
      <c r="U8" s="48"/>
    </row>
    <row r="9" spans="2:21" x14ac:dyDescent="0.3">
      <c r="B9" s="74"/>
      <c r="D9" t="s">
        <v>454</v>
      </c>
      <c r="E9" s="2"/>
      <c r="G9" t="s">
        <v>146</v>
      </c>
      <c r="H9" s="532" t="str">
        <f>Forme_ogive</f>
        <v>Parabolique (arrondie)</v>
      </c>
      <c r="N9" s="75"/>
      <c r="O9" s="6"/>
      <c r="P9" s="273"/>
      <c r="Q9" s="436"/>
      <c r="R9" s="48"/>
      <c r="S9" s="48"/>
      <c r="T9" s="48"/>
      <c r="U9" s="48"/>
    </row>
    <row r="10" spans="2:21" x14ac:dyDescent="0.3">
      <c r="B10" s="74"/>
      <c r="F10" s="3"/>
      <c r="G10" s="6"/>
      <c r="N10" s="75"/>
      <c r="O10" s="521"/>
      <c r="P10" s="48"/>
      <c r="Q10" s="436"/>
      <c r="R10" s="48"/>
      <c r="S10" s="48"/>
      <c r="T10" s="48"/>
      <c r="U10" s="48"/>
    </row>
    <row r="11" spans="2:21" ht="12.9" thickBot="1" x14ac:dyDescent="0.35">
      <c r="B11" s="74"/>
      <c r="C11" s="12"/>
      <c r="D11" s="275" t="s">
        <v>452</v>
      </c>
      <c r="E11" s="243">
        <f>MasseSans</f>
        <v>7.4</v>
      </c>
      <c r="F11" s="246" t="s">
        <v>123</v>
      </c>
      <c r="G11" s="246" t="s">
        <v>125</v>
      </c>
      <c r="H11" s="672">
        <f ca="1">Vsortie_de_rampe</f>
        <v>32.064499310696448</v>
      </c>
      <c r="I11" s="673"/>
      <c r="J11" s="76"/>
      <c r="N11" s="75"/>
      <c r="P11" s="48"/>
      <c r="Q11" s="436"/>
      <c r="R11" s="48"/>
      <c r="S11" s="48"/>
      <c r="T11" s="48"/>
      <c r="U11" s="440">
        <f>IF(RIGHT(Nb_diam,1)=",", "", X_j)</f>
        <v>35</v>
      </c>
    </row>
    <row r="12" spans="2:21" ht="12.9" thickBot="1" x14ac:dyDescent="0.35">
      <c r="B12" s="74"/>
      <c r="C12" s="12"/>
      <c r="D12" s="276"/>
      <c r="E12" s="244"/>
      <c r="F12" s="6" t="s">
        <v>123</v>
      </c>
      <c r="G12" s="6" t="s">
        <v>126</v>
      </c>
      <c r="H12" s="674">
        <f>Finesse</f>
        <v>21.95</v>
      </c>
      <c r="I12" s="675"/>
      <c r="J12" s="76"/>
      <c r="N12" s="75"/>
      <c r="O12" s="6"/>
      <c r="P12" s="273" t="s">
        <v>339</v>
      </c>
      <c r="Q12" s="441">
        <f>D_og</f>
        <v>90</v>
      </c>
      <c r="R12" s="48"/>
      <c r="S12" s="48"/>
      <c r="T12" s="48"/>
      <c r="U12" s="436"/>
    </row>
    <row r="13" spans="2:21" x14ac:dyDescent="0.3">
      <c r="B13" s="74"/>
      <c r="C13" s="12"/>
      <c r="D13" s="276" t="s">
        <v>5</v>
      </c>
      <c r="E13" s="244">
        <f>Cx</f>
        <v>0.7</v>
      </c>
      <c r="F13" s="6" t="s">
        <v>123</v>
      </c>
      <c r="G13" s="6" t="s">
        <v>431</v>
      </c>
      <c r="H13" s="674">
        <f>Cn</f>
        <v>17.567415172291732</v>
      </c>
      <c r="I13" s="675"/>
      <c r="J13" s="76"/>
      <c r="N13" s="75"/>
      <c r="O13" s="6"/>
      <c r="P13" s="48"/>
      <c r="Q13" s="436"/>
      <c r="R13" s="48"/>
      <c r="S13" s="48"/>
      <c r="T13" s="48"/>
      <c r="U13" s="440">
        <f>IF(RIGHT(Nb_diam,1)=",", "", X_r)</f>
        <v>500</v>
      </c>
    </row>
    <row r="14" spans="2:21" x14ac:dyDescent="0.3">
      <c r="B14" s="74"/>
      <c r="C14" s="12"/>
      <c r="D14" s="276" t="s">
        <v>143</v>
      </c>
      <c r="E14" s="244">
        <f>L_rampe</f>
        <v>4</v>
      </c>
      <c r="F14" s="6" t="s">
        <v>123</v>
      </c>
      <c r="G14" s="6" t="s">
        <v>127</v>
      </c>
      <c r="H14" s="247">
        <f ca="1">MS_min</f>
        <v>4.1231769043859048</v>
      </c>
      <c r="I14" s="254">
        <f ca="1">MS_max</f>
        <v>4.8728473102306884</v>
      </c>
      <c r="J14" s="76"/>
      <c r="K14" s="76"/>
      <c r="N14" s="75"/>
      <c r="P14" s="48"/>
      <c r="Q14" s="436"/>
      <c r="R14" s="48"/>
      <c r="S14" s="48"/>
      <c r="T14" s="48"/>
      <c r="U14" s="436"/>
    </row>
    <row r="15" spans="2:21" x14ac:dyDescent="0.3">
      <c r="B15" s="74"/>
      <c r="C15" s="12"/>
      <c r="D15" s="276" t="s">
        <v>144</v>
      </c>
      <c r="E15" s="244">
        <f>ep_ail</f>
        <v>2</v>
      </c>
      <c r="F15" s="6" t="s">
        <v>123</v>
      </c>
      <c r="G15" s="6" t="s">
        <v>124</v>
      </c>
      <c r="H15" s="247">
        <f ca="1">MS_Cn_min</f>
        <v>72.4335605081518</v>
      </c>
      <c r="I15" s="254">
        <f ca="1">MS_Cn_max</f>
        <v>85.603331770007543</v>
      </c>
      <c r="J15" s="76"/>
      <c r="K15" s="76"/>
      <c r="N15" s="75"/>
      <c r="P15" s="48"/>
      <c r="Q15" s="436"/>
      <c r="R15" s="48"/>
      <c r="S15" s="48"/>
      <c r="T15" s="48"/>
    </row>
    <row r="16" spans="2:21" x14ac:dyDescent="0.3">
      <c r="B16" s="74"/>
      <c r="C16" s="12"/>
      <c r="D16" s="276" t="s">
        <v>145</v>
      </c>
      <c r="E16" s="244">
        <f>Q_ail</f>
        <v>4</v>
      </c>
      <c r="F16" s="6" t="s">
        <v>128</v>
      </c>
      <c r="G16" s="6" t="s">
        <v>129</v>
      </c>
      <c r="H16" s="247">
        <f ca="1">V_para</f>
        <v>8.0492026063895192</v>
      </c>
      <c r="I16" s="253">
        <f>V_satellite</f>
        <v>12.655562623057198</v>
      </c>
      <c r="J16" s="76"/>
      <c r="N16" s="75"/>
      <c r="P16" s="48"/>
      <c r="Q16" s="436"/>
      <c r="R16" s="48"/>
      <c r="S16" s="48"/>
      <c r="T16" s="48"/>
      <c r="U16" s="440">
        <f>IF(RIGHT(Nb_diam,1)=",", "", l_j)</f>
        <v>150</v>
      </c>
    </row>
    <row r="17" spans="2:21" x14ac:dyDescent="0.3">
      <c r="B17" s="74"/>
      <c r="C17" s="12"/>
      <c r="D17" s="276" t="s">
        <v>146</v>
      </c>
      <c r="E17" s="272" t="str">
        <f>Forme_ogive</f>
        <v>Parabolique (arrondie)</v>
      </c>
      <c r="F17" s="6" t="s">
        <v>130</v>
      </c>
      <c r="G17" s="6" t="s">
        <v>131</v>
      </c>
      <c r="H17" s="674">
        <f>T_para</f>
        <v>16</v>
      </c>
      <c r="I17" s="675"/>
      <c r="J17" s="258"/>
      <c r="N17" s="75"/>
      <c r="P17" s="434" t="s">
        <v>340</v>
      </c>
      <c r="Q17" s="440">
        <f>IF(RIGHT(Nb_diam,1)=",", "", D2j)</f>
        <v>100</v>
      </c>
      <c r="R17" s="48"/>
      <c r="S17" s="48"/>
      <c r="T17" s="48"/>
      <c r="U17" s="436"/>
    </row>
    <row r="18" spans="2:21" x14ac:dyDescent="0.3">
      <c r="B18" s="74"/>
      <c r="C18" s="12"/>
      <c r="D18" s="276" t="s">
        <v>148</v>
      </c>
      <c r="E18" s="244">
        <f ca="1">XpropuRef-Long_propu</f>
        <v>1707</v>
      </c>
      <c r="F18" s="12" t="s">
        <v>130</v>
      </c>
      <c r="G18" s="12" t="s">
        <v>425</v>
      </c>
      <c r="H18" s="602">
        <f ca="1">T_para-Combustion-Depotage</f>
        <v>16</v>
      </c>
      <c r="I18" s="680"/>
      <c r="N18" s="75"/>
      <c r="P18" s="48"/>
      <c r="Q18" s="436"/>
      <c r="R18" s="48"/>
      <c r="S18" s="48"/>
    </row>
    <row r="19" spans="2:21" x14ac:dyDescent="0.3">
      <c r="B19" s="74"/>
      <c r="C19" s="531"/>
      <c r="D19" s="269"/>
      <c r="E19" s="271"/>
      <c r="F19" s="519" t="s">
        <v>132</v>
      </c>
      <c r="G19" s="274" t="s">
        <v>424</v>
      </c>
      <c r="H19" s="681">
        <f ca="1">Portee_balistique</f>
        <v>780.60585379989482</v>
      </c>
      <c r="I19" s="682"/>
      <c r="N19" s="75"/>
      <c r="P19" s="48"/>
      <c r="Q19" s="436"/>
      <c r="R19" s="48"/>
      <c r="S19" s="48"/>
      <c r="T19" s="48"/>
    </row>
    <row r="20" spans="2:21" x14ac:dyDescent="0.3">
      <c r="B20" s="74"/>
      <c r="C20" s="12"/>
      <c r="D20" s="6"/>
      <c r="E20" s="6"/>
      <c r="H20" s="518"/>
      <c r="I20" s="518"/>
      <c r="N20" s="75"/>
      <c r="P20" s="48"/>
      <c r="Q20" s="436"/>
      <c r="R20" s="48"/>
      <c r="S20" s="48"/>
      <c r="T20" s="48"/>
      <c r="U20" s="440">
        <f>IF(RIGHT(Nb_diam,1)=",", "", l_r)</f>
        <v>50</v>
      </c>
    </row>
    <row r="21" spans="2:21" x14ac:dyDescent="0.3">
      <c r="B21" s="74"/>
      <c r="C21" s="12"/>
      <c r="D21" s="6"/>
      <c r="E21" s="263"/>
      <c r="F21" s="3"/>
      <c r="G21" s="6"/>
      <c r="H21" s="518"/>
      <c r="I21" s="518"/>
      <c r="N21" s="75"/>
      <c r="O21" s="273"/>
      <c r="P21" s="436"/>
      <c r="Q21" s="48"/>
      <c r="R21" s="48"/>
      <c r="S21" s="48"/>
      <c r="T21" s="226"/>
      <c r="U21" s="436"/>
    </row>
    <row r="22" spans="2:21" x14ac:dyDescent="0.3">
      <c r="B22" s="74"/>
      <c r="C22" s="526" t="s">
        <v>451</v>
      </c>
      <c r="D22" s="526" t="s">
        <v>435</v>
      </c>
      <c r="E22" s="527"/>
      <c r="F22" s="528" t="s">
        <v>440</v>
      </c>
      <c r="G22" s="526" t="s">
        <v>445</v>
      </c>
      <c r="I22" s="529"/>
      <c r="J22" s="530" t="s">
        <v>156</v>
      </c>
      <c r="K22" s="526" t="s">
        <v>157</v>
      </c>
      <c r="N22" s="75"/>
      <c r="O22" s="273"/>
      <c r="P22" s="436"/>
      <c r="Q22" s="48"/>
      <c r="R22" s="48"/>
      <c r="S22" s="48"/>
      <c r="T22" s="226"/>
      <c r="U22" s="436"/>
    </row>
    <row r="23" spans="2:21" x14ac:dyDescent="0.3">
      <c r="B23" s="74"/>
      <c r="C23" s="526" t="s">
        <v>450</v>
      </c>
      <c r="D23" s="527">
        <f>XcgSans</f>
        <v>1215</v>
      </c>
      <c r="E23" s="527" t="s">
        <v>38</v>
      </c>
      <c r="F23" s="528">
        <f>m_ail</f>
        <v>290</v>
      </c>
      <c r="G23" s="526">
        <f>m_can</f>
        <v>70</v>
      </c>
      <c r="I23" s="529" t="s">
        <v>446</v>
      </c>
      <c r="J23" s="528">
        <f>l_j</f>
        <v>150</v>
      </c>
      <c r="K23" s="526">
        <f>l_r</f>
        <v>50</v>
      </c>
      <c r="N23" s="75"/>
      <c r="O23" s="273"/>
      <c r="P23" s="436"/>
      <c r="Q23" s="48"/>
      <c r="R23" s="48"/>
      <c r="S23" s="48"/>
      <c r="T23" s="226"/>
      <c r="U23" s="436"/>
    </row>
    <row r="24" spans="2:21" x14ac:dyDescent="0.3">
      <c r="B24" s="74"/>
      <c r="C24" s="526" t="s">
        <v>438</v>
      </c>
      <c r="D24" s="526">
        <f>Long_tot</f>
        <v>2195</v>
      </c>
      <c r="E24" s="527" t="s">
        <v>441</v>
      </c>
      <c r="F24" s="528">
        <f>n_ail</f>
        <v>150</v>
      </c>
      <c r="G24" s="526">
        <f>n_can</f>
        <v>10</v>
      </c>
      <c r="I24" s="529" t="s">
        <v>447</v>
      </c>
      <c r="J24" s="528">
        <f>D1j</f>
        <v>90</v>
      </c>
      <c r="K24" s="526">
        <f>D1r</f>
        <v>100</v>
      </c>
      <c r="N24" s="75"/>
      <c r="O24" s="273"/>
      <c r="P24" s="436"/>
      <c r="Q24" s="48"/>
      <c r="R24" s="48"/>
      <c r="S24" s="48"/>
      <c r="T24" s="226"/>
      <c r="U24" s="436"/>
    </row>
    <row r="25" spans="2:21" x14ac:dyDescent="0.3">
      <c r="B25" s="74"/>
      <c r="C25" s="526" t="s">
        <v>439</v>
      </c>
      <c r="D25" s="526">
        <f>XpropuRef</f>
        <v>2195</v>
      </c>
      <c r="E25" s="527" t="s">
        <v>442</v>
      </c>
      <c r="F25" s="528">
        <f>p_ail</f>
        <v>70</v>
      </c>
      <c r="G25" s="526">
        <f>p_can</f>
        <v>40</v>
      </c>
      <c r="I25" s="529" t="s">
        <v>448</v>
      </c>
      <c r="J25" s="528">
        <f>D2j</f>
        <v>100</v>
      </c>
      <c r="K25" s="526">
        <f>D2r</f>
        <v>100</v>
      </c>
      <c r="N25" s="75"/>
      <c r="O25" s="273"/>
      <c r="P25" s="436"/>
      <c r="Q25" s="48"/>
      <c r="R25" s="48"/>
      <c r="S25" s="48"/>
      <c r="T25" s="226"/>
      <c r="U25" s="436"/>
    </row>
    <row r="26" spans="2:21" x14ac:dyDescent="0.3">
      <c r="B26" s="74"/>
      <c r="C26" s="526" t="s">
        <v>436</v>
      </c>
      <c r="D26" s="526">
        <f>D_ref</f>
        <v>100</v>
      </c>
      <c r="E26" s="527" t="s">
        <v>443</v>
      </c>
      <c r="F26" s="528">
        <f>E_ail</f>
        <v>128</v>
      </c>
      <c r="G26" s="526">
        <f>E_can</f>
        <v>50</v>
      </c>
      <c r="I26" s="529" t="s">
        <v>449</v>
      </c>
      <c r="J26" s="528">
        <f>X_j</f>
        <v>35</v>
      </c>
      <c r="K26" s="526">
        <f>X_r</f>
        <v>500</v>
      </c>
      <c r="N26" s="75"/>
      <c r="O26" s="273"/>
      <c r="P26" s="436"/>
      <c r="Q26" s="48"/>
      <c r="R26" s="48"/>
      <c r="S26" s="48"/>
      <c r="T26" s="226"/>
      <c r="U26" s="436"/>
    </row>
    <row r="27" spans="2:21" x14ac:dyDescent="0.3">
      <c r="B27" s="74"/>
      <c r="C27" s="526" t="s">
        <v>437</v>
      </c>
      <c r="D27" s="526">
        <f>Long_ogive</f>
        <v>35</v>
      </c>
      <c r="E27" s="527" t="s">
        <v>444</v>
      </c>
      <c r="F27" s="528">
        <f>X_ail</f>
        <v>2185</v>
      </c>
      <c r="G27" s="526">
        <f>X_can</f>
        <v>700</v>
      </c>
      <c r="H27" s="518"/>
      <c r="I27" s="3"/>
      <c r="J27" s="2"/>
      <c r="N27" s="75"/>
      <c r="O27" s="273"/>
      <c r="P27" s="436"/>
      <c r="Q27" s="48"/>
      <c r="R27" s="48"/>
      <c r="S27" s="48"/>
      <c r="T27" s="226"/>
      <c r="U27" s="436"/>
    </row>
    <row r="28" spans="2:21" ht="12.9" thickBot="1" x14ac:dyDescent="0.35">
      <c r="B28" s="74"/>
      <c r="E28" s="95"/>
      <c r="N28" s="75"/>
      <c r="O28" s="2"/>
      <c r="P28" s="6"/>
      <c r="Q28" s="2"/>
      <c r="R28" s="48"/>
      <c r="S28" s="48"/>
      <c r="T28" s="48"/>
      <c r="U28" s="436"/>
    </row>
    <row r="29" spans="2:21" ht="12.9" thickBot="1" x14ac:dyDescent="0.35">
      <c r="B29" s="74"/>
      <c r="C29" s="677" t="s">
        <v>141</v>
      </c>
      <c r="D29" s="677" t="s">
        <v>133</v>
      </c>
      <c r="E29" s="677" t="s">
        <v>134</v>
      </c>
      <c r="F29" s="677"/>
      <c r="G29" s="677"/>
      <c r="H29" s="678" t="s">
        <v>135</v>
      </c>
      <c r="I29" s="678"/>
      <c r="J29" s="678"/>
      <c r="K29" s="678"/>
      <c r="L29" s="677" t="s">
        <v>136</v>
      </c>
      <c r="M29" s="677" t="s">
        <v>137</v>
      </c>
      <c r="N29" s="75"/>
      <c r="O29" s="273" t="s">
        <v>428</v>
      </c>
      <c r="P29" s="441">
        <f>n_ail</f>
        <v>150</v>
      </c>
      <c r="Q29" s="2"/>
      <c r="R29" s="48"/>
      <c r="S29" s="48"/>
      <c r="T29" s="48"/>
      <c r="U29" s="12" t="s">
        <v>432</v>
      </c>
    </row>
    <row r="30" spans="2:21" ht="12.9" thickBot="1" x14ac:dyDescent="0.35">
      <c r="B30" s="74"/>
      <c r="C30" s="677"/>
      <c r="D30" s="677"/>
      <c r="E30" s="677"/>
      <c r="F30" s="677"/>
      <c r="G30" s="677"/>
      <c r="H30" s="678" t="s">
        <v>138</v>
      </c>
      <c r="I30" s="678"/>
      <c r="J30" s="69" t="s">
        <v>139</v>
      </c>
      <c r="K30" s="70" t="s">
        <v>140</v>
      </c>
      <c r="L30" s="677"/>
      <c r="M30" s="677"/>
      <c r="N30" s="75"/>
      <c r="P30" s="12"/>
      <c r="R30" s="48"/>
      <c r="S30" s="48"/>
      <c r="T30" s="226" t="s">
        <v>430</v>
      </c>
      <c r="U30" s="523">
        <f>[0]!p_can</f>
        <v>40</v>
      </c>
    </row>
    <row r="31" spans="2:21" ht="12.9" thickBot="1" x14ac:dyDescent="0.35">
      <c r="B31" s="74"/>
      <c r="C31" s="83">
        <f>Beta_rampe</f>
        <v>80</v>
      </c>
      <c r="D31" s="84">
        <f ca="1">Portee_balistique</f>
        <v>780.60585379989482</v>
      </c>
      <c r="E31" s="676">
        <f ca="1">T_para+Dt_para</f>
        <v>181.94176512554765</v>
      </c>
      <c r="F31" s="676"/>
      <c r="G31" s="676"/>
      <c r="H31" s="679">
        <f ca="1">Altitude_culmi</f>
        <v>1336.2190763527988</v>
      </c>
      <c r="I31" s="679"/>
      <c r="J31" s="85">
        <f ca="1">Temps_culmi</f>
        <v>15.599999999999962</v>
      </c>
      <c r="K31" s="86">
        <f ca="1">Vit_culmi</f>
        <v>23.542286849940808</v>
      </c>
      <c r="L31" s="84">
        <f ca="1">Acc_max</f>
        <v>140.81146137770136</v>
      </c>
      <c r="M31" s="86">
        <f ca="1">Vit_max</f>
        <v>205.4711320347557</v>
      </c>
      <c r="N31" s="75"/>
      <c r="O31" s="273" t="s">
        <v>434</v>
      </c>
      <c r="P31" s="441">
        <f>ep_ail</f>
        <v>2</v>
      </c>
      <c r="Q31" s="2"/>
      <c r="R31" s="48"/>
      <c r="S31" s="48"/>
      <c r="T31" s="226" t="s">
        <v>342</v>
      </c>
      <c r="U31" s="523">
        <f>[0]!m_can</f>
        <v>70</v>
      </c>
    </row>
    <row r="32" spans="2:21" ht="12.9" thickBot="1" x14ac:dyDescent="0.35">
      <c r="B32" s="74"/>
      <c r="C32" s="520"/>
      <c r="D32" s="242"/>
      <c r="E32" s="247"/>
      <c r="F32" s="247"/>
      <c r="G32" s="247"/>
      <c r="H32" s="283"/>
      <c r="I32" s="283"/>
      <c r="J32" s="247"/>
      <c r="K32" s="248"/>
      <c r="L32" s="242"/>
      <c r="M32" s="248"/>
      <c r="N32" s="75"/>
      <c r="O32" s="273" t="s">
        <v>433</v>
      </c>
      <c r="P32" s="522">
        <f>Q_ail</f>
        <v>4</v>
      </c>
      <c r="Q32" s="2"/>
      <c r="R32" s="48"/>
      <c r="S32" s="48"/>
      <c r="T32" s="226" t="s">
        <v>428</v>
      </c>
      <c r="U32" s="523">
        <f>[0]!n_can</f>
        <v>10</v>
      </c>
    </row>
    <row r="33" spans="2:21" ht="12.9" thickBot="1" x14ac:dyDescent="0.35">
      <c r="B33" s="74"/>
      <c r="D33" s="80"/>
      <c r="E33" s="81"/>
      <c r="F33" s="81"/>
      <c r="G33" s="81"/>
      <c r="H33" s="82"/>
      <c r="I33" s="82"/>
      <c r="J33" s="81"/>
      <c r="K33" s="76"/>
      <c r="L33" s="80"/>
      <c r="M33" s="76"/>
      <c r="N33" s="75"/>
      <c r="O33" s="2"/>
      <c r="Q33" s="2"/>
      <c r="R33" s="48"/>
      <c r="S33" s="48"/>
      <c r="T33" s="226" t="s">
        <v>429</v>
      </c>
      <c r="U33" s="523">
        <f>[0]!E_can</f>
        <v>50</v>
      </c>
    </row>
    <row r="34" spans="2:21" ht="12.9" thickBot="1" x14ac:dyDescent="0.35">
      <c r="B34" s="77"/>
      <c r="C34" s="78"/>
      <c r="D34" s="78"/>
      <c r="E34" s="78"/>
      <c r="F34" s="78"/>
      <c r="G34" s="78"/>
      <c r="H34" s="78"/>
      <c r="I34" s="78"/>
      <c r="J34" s="78"/>
      <c r="K34" s="78"/>
      <c r="L34" s="78"/>
      <c r="M34" s="78"/>
      <c r="N34" s="79"/>
      <c r="O34" s="2"/>
      <c r="P34" s="273" t="s">
        <v>429</v>
      </c>
      <c r="Q34" s="441">
        <f>E_ail</f>
        <v>128</v>
      </c>
      <c r="T34" s="226" t="s">
        <v>434</v>
      </c>
      <c r="U34" s="523">
        <f>[0]!ep_can</f>
        <v>2</v>
      </c>
    </row>
    <row r="35" spans="2:21" x14ac:dyDescent="0.3">
      <c r="O35" s="2"/>
      <c r="P35" s="6"/>
      <c r="Q35" s="6"/>
      <c r="T35" s="226" t="s">
        <v>433</v>
      </c>
      <c r="U35" s="523">
        <f>[0]!Q_can</f>
        <v>4</v>
      </c>
    </row>
    <row r="36" spans="2:21" ht="12.9" thickBot="1" x14ac:dyDescent="0.35">
      <c r="T36" s="2"/>
      <c r="U36" s="12"/>
    </row>
    <row r="37" spans="2:21" x14ac:dyDescent="0.3">
      <c r="B37" s="71"/>
      <c r="C37" s="72"/>
      <c r="D37" s="72"/>
      <c r="E37" s="72"/>
      <c r="F37" s="72"/>
      <c r="G37" s="72"/>
      <c r="H37" s="72"/>
      <c r="I37" s="72"/>
      <c r="J37" s="72"/>
      <c r="K37" s="72"/>
      <c r="L37" s="72"/>
      <c r="M37" s="72"/>
      <c r="N37" s="73"/>
      <c r="T37" s="2"/>
    </row>
    <row r="38" spans="2:21" x14ac:dyDescent="0.3">
      <c r="B38" s="74"/>
      <c r="D38" s="2" t="s">
        <v>195</v>
      </c>
      <c r="H38" s="273" t="s">
        <v>561</v>
      </c>
      <c r="I38" t="str">
        <f>Matricule</f>
        <v>FX10</v>
      </c>
      <c r="N38" s="75"/>
    </row>
    <row r="39" spans="2:21" x14ac:dyDescent="0.3">
      <c r="B39" s="74"/>
      <c r="D39" s="2"/>
      <c r="N39" s="75"/>
    </row>
    <row r="40" spans="2:21" x14ac:dyDescent="0.3">
      <c r="B40" s="74"/>
      <c r="D40" s="275" t="s">
        <v>149</v>
      </c>
      <c r="E40" s="246">
        <f>D_ref</f>
        <v>100</v>
      </c>
      <c r="F40" s="265"/>
      <c r="G40" s="265"/>
      <c r="H40" s="261" t="s">
        <v>198</v>
      </c>
      <c r="I40" s="261" t="s">
        <v>199</v>
      </c>
      <c r="J40" s="262" t="s">
        <v>200</v>
      </c>
      <c r="N40" s="75"/>
    </row>
    <row r="41" spans="2:21" x14ac:dyDescent="0.3">
      <c r="B41" s="74"/>
      <c r="D41" s="276" t="s">
        <v>147</v>
      </c>
      <c r="E41" s="6">
        <f>Long_ogive</f>
        <v>35</v>
      </c>
      <c r="F41" s="2"/>
      <c r="G41" s="2" t="s">
        <v>201</v>
      </c>
      <c r="H41" s="6">
        <f>MasseSans</f>
        <v>7.4</v>
      </c>
      <c r="I41" s="6">
        <f ca="1">MasseVide</f>
        <v>8.0500000000000007</v>
      </c>
      <c r="J41" s="244">
        <f ca="1">MassePlein</f>
        <v>9.032</v>
      </c>
      <c r="N41" s="75"/>
    </row>
    <row r="42" spans="2:21" x14ac:dyDescent="0.3">
      <c r="B42" s="74"/>
      <c r="D42" s="276" t="s">
        <v>150</v>
      </c>
      <c r="E42" s="6">
        <f>X_ail-m_ail</f>
        <v>1895</v>
      </c>
      <c r="F42" s="255"/>
      <c r="G42" s="255" t="s">
        <v>218</v>
      </c>
      <c r="H42" s="263">
        <f>XcgSans</f>
        <v>1215</v>
      </c>
      <c r="I42" s="263">
        <f ca="1">XcgVide</f>
        <v>1274.1055900621116</v>
      </c>
      <c r="J42" s="245">
        <f ca="1">XcgPlein</f>
        <v>1349.0726306465899</v>
      </c>
      <c r="N42" s="75"/>
    </row>
    <row r="43" spans="2:21" x14ac:dyDescent="0.3">
      <c r="B43" s="74"/>
      <c r="D43" s="276" t="str">
        <f>IF(Lang="Français","Emplanture 'm'",IF(Lang="English","Root edge  'm'",""))</f>
        <v>Emplanture 'm'</v>
      </c>
      <c r="E43" s="244">
        <f>m_ail</f>
        <v>290</v>
      </c>
      <c r="N43" s="75"/>
    </row>
    <row r="44" spans="2:21" x14ac:dyDescent="0.3">
      <c r="B44" s="74"/>
      <c r="D44" s="276" t="str">
        <f>IF(Lang="Français","Saumon      'n'",IF(Lang="English","Tip edge    'n'",""))</f>
        <v>Saumon      'n'</v>
      </c>
      <c r="E44" s="244">
        <f>n_ail</f>
        <v>150</v>
      </c>
      <c r="F44" s="246" t="s">
        <v>202</v>
      </c>
      <c r="G44" s="246" t="s">
        <v>207</v>
      </c>
      <c r="H44" s="672">
        <f ca="1">Vsortie_de_rampe</f>
        <v>32.064499310696448</v>
      </c>
      <c r="I44" s="673"/>
      <c r="N44" s="75"/>
    </row>
    <row r="45" spans="2:21" x14ac:dyDescent="0.3">
      <c r="B45" s="74"/>
      <c r="D45" s="276" t="str">
        <f>IF(Lang="Français","Flèche        'p'",IF(Lang="English","Offset         'p'",""))</f>
        <v>Flèche        'p'</v>
      </c>
      <c r="E45" s="244">
        <f>p_ail</f>
        <v>70</v>
      </c>
      <c r="F45" s="6" t="s">
        <v>203</v>
      </c>
      <c r="G45" s="6" t="s">
        <v>208</v>
      </c>
      <c r="H45" s="674">
        <f>Finesse</f>
        <v>21.95</v>
      </c>
      <c r="I45" s="675"/>
      <c r="N45" s="75"/>
    </row>
    <row r="46" spans="2:21" x14ac:dyDescent="0.3">
      <c r="B46" s="74"/>
      <c r="D46" s="276" t="str">
        <f>IF(Lang="Français","Envergure   'E'",IF(Lang="English","Span          'E'",""))</f>
        <v>Envergure   'E'</v>
      </c>
      <c r="E46" s="244">
        <f>E_ail</f>
        <v>128</v>
      </c>
      <c r="F46" s="6" t="s">
        <v>204</v>
      </c>
      <c r="G46" s="6" t="s">
        <v>209</v>
      </c>
      <c r="H46" s="674">
        <f>Cn</f>
        <v>17.567415172291732</v>
      </c>
      <c r="I46" s="675"/>
      <c r="N46" s="75"/>
    </row>
    <row r="47" spans="2:21" x14ac:dyDescent="0.3">
      <c r="B47" s="74"/>
      <c r="D47" s="276" t="s">
        <v>144</v>
      </c>
      <c r="E47" s="244">
        <f>ep_ail</f>
        <v>2</v>
      </c>
      <c r="F47" s="6" t="s">
        <v>205</v>
      </c>
      <c r="G47" s="6" t="s">
        <v>210</v>
      </c>
      <c r="H47" s="247">
        <f ca="1">MS_min</f>
        <v>4.1231769043859048</v>
      </c>
      <c r="I47" s="254">
        <f ca="1">MS_max</f>
        <v>4.8728473102306884</v>
      </c>
      <c r="N47" s="75"/>
    </row>
    <row r="48" spans="2:21" x14ac:dyDescent="0.3">
      <c r="B48" s="74"/>
      <c r="D48" s="276" t="s">
        <v>145</v>
      </c>
      <c r="E48" s="244">
        <f>Q_ail</f>
        <v>4</v>
      </c>
      <c r="F48" s="274" t="s">
        <v>206</v>
      </c>
      <c r="G48" s="274" t="s">
        <v>211</v>
      </c>
      <c r="H48" s="256">
        <f ca="1">MS_Cn_min</f>
        <v>72.4335605081518</v>
      </c>
      <c r="I48" s="264">
        <f ca="1">MS_Cn_max</f>
        <v>85.603331770007543</v>
      </c>
      <c r="N48" s="75"/>
    </row>
    <row r="49" spans="2:14" x14ac:dyDescent="0.3">
      <c r="B49" s="74"/>
      <c r="D49" s="276" t="s">
        <v>148</v>
      </c>
      <c r="E49" s="244">
        <f ca="1">XpropuRef-Long_propu</f>
        <v>1707</v>
      </c>
      <c r="N49" s="75"/>
    </row>
    <row r="50" spans="2:14" x14ac:dyDescent="0.3">
      <c r="B50" s="74"/>
      <c r="D50" s="276" t="s">
        <v>146</v>
      </c>
      <c r="E50" s="272" t="str">
        <f>Forme_ogive</f>
        <v>Parabolique (arrondie)</v>
      </c>
      <c r="F50" s="273" t="s">
        <v>183</v>
      </c>
      <c r="G50" s="275" t="s">
        <v>5</v>
      </c>
      <c r="H50" s="246">
        <f>Cx</f>
        <v>0.7</v>
      </c>
      <c r="I50" s="265"/>
      <c r="J50" s="266"/>
      <c r="N50" s="75"/>
    </row>
    <row r="51" spans="2:14" x14ac:dyDescent="0.3">
      <c r="B51" s="74"/>
      <c r="D51" s="276" t="s">
        <v>142</v>
      </c>
      <c r="E51" s="244">
        <f>Long_tot</f>
        <v>2195</v>
      </c>
      <c r="G51" s="276" t="s">
        <v>212</v>
      </c>
      <c r="H51" s="6">
        <f>Sref</f>
        <v>8.8779816339744824E-3</v>
      </c>
      <c r="J51" s="267"/>
      <c r="N51" s="75"/>
    </row>
    <row r="52" spans="2:14" x14ac:dyDescent="0.3">
      <c r="B52" s="74"/>
      <c r="D52" s="276" t="s">
        <v>196</v>
      </c>
      <c r="E52" s="244">
        <f>MAX(D_ref,D_ail,D_og,(RIGHT(Nb_diam,1)=",")*MAX(D1j,D1r,D2j,D2r))</f>
        <v>100</v>
      </c>
      <c r="G52" s="276" t="s">
        <v>213</v>
      </c>
      <c r="H52" s="6">
        <f>Beta_rampe</f>
        <v>80</v>
      </c>
      <c r="I52" s="6">
        <v>80</v>
      </c>
      <c r="J52" s="244">
        <v>90</v>
      </c>
      <c r="N52" s="75"/>
    </row>
    <row r="53" spans="2:14" x14ac:dyDescent="0.3">
      <c r="B53" s="74"/>
      <c r="D53" s="277" t="s">
        <v>197</v>
      </c>
      <c r="E53" s="260">
        <f>E_ail*2+D_ail</f>
        <v>356</v>
      </c>
      <c r="G53" s="278" t="s">
        <v>215</v>
      </c>
      <c r="H53" s="247">
        <f ca="1">Temps_culmi</f>
        <v>15.599999999999962</v>
      </c>
      <c r="I53" s="259"/>
      <c r="J53" s="268"/>
      <c r="N53" s="75"/>
    </row>
    <row r="54" spans="2:14" x14ac:dyDescent="0.3">
      <c r="B54" s="74"/>
      <c r="G54" s="278" t="s">
        <v>216</v>
      </c>
      <c r="H54" s="242">
        <f ca="1">Altitude_culmi</f>
        <v>1336.2190763527988</v>
      </c>
      <c r="I54" s="259"/>
      <c r="J54" s="268"/>
      <c r="N54" s="75"/>
    </row>
    <row r="55" spans="2:14" x14ac:dyDescent="0.3">
      <c r="B55" s="74"/>
      <c r="C55" s="275" t="s">
        <v>233</v>
      </c>
      <c r="D55" s="249" t="s">
        <v>60</v>
      </c>
      <c r="E55" s="243">
        <f>Long_tot</f>
        <v>2195</v>
      </c>
      <c r="G55" s="278" t="s">
        <v>217</v>
      </c>
      <c r="H55" s="248">
        <f ca="1">Vit_culmi</f>
        <v>23.542286849940808</v>
      </c>
      <c r="I55" s="259"/>
      <c r="J55" s="268"/>
      <c r="N55" s="75"/>
    </row>
    <row r="56" spans="2:14" x14ac:dyDescent="0.3">
      <c r="B56" s="74"/>
      <c r="C56" s="276"/>
      <c r="D56" s="2" t="s">
        <v>219</v>
      </c>
      <c r="E56" s="244">
        <f>MAX(D_ref,D_ail,D_og,(RIGHT(Nb_diam,1)=",")*MAX(D1j,D1r,D2j,D2r))</f>
        <v>100</v>
      </c>
      <c r="G56" s="278" t="s">
        <v>133</v>
      </c>
      <c r="H56" s="242">
        <f ca="1">Portee_balistique</f>
        <v>780.60585379989482</v>
      </c>
      <c r="I56" s="259"/>
      <c r="J56" s="268"/>
      <c r="N56" s="75"/>
    </row>
    <row r="57" spans="2:14" x14ac:dyDescent="0.3">
      <c r="B57" s="74"/>
      <c r="C57" s="276"/>
      <c r="D57" s="2" t="s">
        <v>220</v>
      </c>
      <c r="E57" s="244">
        <f>E_ail*2+D_ail</f>
        <v>356</v>
      </c>
      <c r="G57" s="278" t="s">
        <v>214</v>
      </c>
      <c r="H57" s="242">
        <f ca="1">T_balistique</f>
        <v>33.900000000000212</v>
      </c>
      <c r="I57" s="259"/>
      <c r="J57" s="268"/>
      <c r="N57" s="75"/>
    </row>
    <row r="58" spans="2:14" x14ac:dyDescent="0.3">
      <c r="B58" s="74"/>
      <c r="C58" s="276"/>
      <c r="D58" s="2" t="s">
        <v>221</v>
      </c>
      <c r="E58" s="244">
        <f ca="1">MassePlein</f>
        <v>9.032</v>
      </c>
      <c r="G58" s="278" t="s">
        <v>137</v>
      </c>
      <c r="H58" s="248">
        <f ca="1">Vit_max</f>
        <v>205.4711320347557</v>
      </c>
      <c r="I58" s="259"/>
      <c r="J58" s="268"/>
      <c r="N58" s="75"/>
    </row>
    <row r="59" spans="2:14" x14ac:dyDescent="0.3">
      <c r="B59" s="74"/>
      <c r="C59" s="277" t="s">
        <v>234</v>
      </c>
      <c r="D59" s="255" t="s">
        <v>145</v>
      </c>
      <c r="E59" s="260">
        <f>Q_ail</f>
        <v>4</v>
      </c>
      <c r="G59" s="278" t="s">
        <v>136</v>
      </c>
      <c r="H59" s="242">
        <f ca="1">Acc_max</f>
        <v>140.81146137770136</v>
      </c>
      <c r="I59" s="259"/>
      <c r="J59" s="268"/>
      <c r="N59" s="75"/>
    </row>
    <row r="60" spans="2:14" x14ac:dyDescent="0.3">
      <c r="B60" s="74"/>
      <c r="C60" s="12"/>
      <c r="G60" s="269" t="s">
        <v>222</v>
      </c>
      <c r="H60" s="270"/>
      <c r="I60" s="270"/>
      <c r="J60" s="271"/>
      <c r="N60" s="75"/>
    </row>
    <row r="61" spans="2:14" x14ac:dyDescent="0.3">
      <c r="B61" s="74"/>
      <c r="C61" s="275"/>
      <c r="D61" s="249"/>
      <c r="E61" s="246" t="s">
        <v>226</v>
      </c>
      <c r="F61" s="243" t="s">
        <v>227</v>
      </c>
      <c r="G61" s="2"/>
      <c r="H61" s="2"/>
      <c r="I61" s="2"/>
      <c r="J61" s="2"/>
      <c r="K61" s="2"/>
      <c r="N61" s="75"/>
    </row>
    <row r="62" spans="2:14" x14ac:dyDescent="0.3">
      <c r="B62" s="74"/>
      <c r="C62" s="276" t="s">
        <v>235</v>
      </c>
      <c r="D62" s="2" t="s">
        <v>225</v>
      </c>
      <c r="E62" s="242">
        <f ca="1">2*Acc_max*MassePlein</f>
        <v>2543.6182383267974</v>
      </c>
      <c r="F62" s="280">
        <f ca="1">E62/9.81</f>
        <v>259.28830156236467</v>
      </c>
      <c r="H62" s="2"/>
      <c r="I62" s="2"/>
      <c r="J62" s="2"/>
      <c r="K62" s="2"/>
      <c r="N62" s="75"/>
    </row>
    <row r="63" spans="2:14" x14ac:dyDescent="0.3">
      <c r="B63" s="74"/>
      <c r="C63" s="276"/>
      <c r="D63" s="2" t="s">
        <v>223</v>
      </c>
      <c r="E63" s="242">
        <f ca="1">2*Acc_max*Masse_ail</f>
        <v>31.722006019168564</v>
      </c>
      <c r="F63" s="248">
        <f ca="1">E63/9.81</f>
        <v>3.2336397573056637</v>
      </c>
      <c r="G63" s="246" t="s">
        <v>229</v>
      </c>
      <c r="H63" s="288">
        <f>S_ail*(ep_ail/1000)*2000</f>
        <v>0.11264</v>
      </c>
      <c r="I63" s="2"/>
      <c r="J63" s="2"/>
      <c r="K63" s="2"/>
      <c r="N63" s="75"/>
    </row>
    <row r="64" spans="2:14" x14ac:dyDescent="0.3">
      <c r="B64" s="74"/>
      <c r="C64" s="277"/>
      <c r="D64" s="255" t="s">
        <v>224</v>
      </c>
      <c r="E64" s="263">
        <f ca="1">0.104*S_ail*Vit_max^2</f>
        <v>123.64245426686145</v>
      </c>
      <c r="F64" s="281">
        <f ca="1">E64/9.81</f>
        <v>12.603716031280474</v>
      </c>
      <c r="G64" s="274" t="s">
        <v>228</v>
      </c>
      <c r="H64" s="289">
        <f>(E_ail*(m_ail+n_ail)/2)/10^6</f>
        <v>2.8160000000000001E-2</v>
      </c>
      <c r="I64" s="2"/>
      <c r="J64" s="2"/>
      <c r="K64" s="2"/>
      <c r="N64" s="75"/>
    </row>
    <row r="65" spans="2:14" x14ac:dyDescent="0.3">
      <c r="B65" s="74"/>
      <c r="C65" s="282" t="s">
        <v>242</v>
      </c>
      <c r="D65" s="285" t="s">
        <v>240</v>
      </c>
      <c r="E65" s="286">
        <f ca="1">2*Acc_max*H65</f>
        <v>1271.8091191633987</v>
      </c>
      <c r="F65" s="286">
        <f ca="1">E65/9.81</f>
        <v>129.64415078118233</v>
      </c>
      <c r="G65" s="287" t="s">
        <v>241</v>
      </c>
      <c r="H65" s="279">
        <f ca="1">E58/2</f>
        <v>4.516</v>
      </c>
      <c r="I65" s="2"/>
      <c r="J65" s="2"/>
      <c r="K65" s="2"/>
      <c r="N65" s="75"/>
    </row>
    <row r="66" spans="2:14" x14ac:dyDescent="0.3">
      <c r="B66" s="74"/>
      <c r="C66" s="6"/>
      <c r="D66" s="2"/>
      <c r="E66" s="2"/>
      <c r="F66" s="2"/>
      <c r="G66" s="2"/>
      <c r="H66" s="2"/>
      <c r="I66" s="2"/>
      <c r="J66" s="2"/>
      <c r="K66" s="2"/>
      <c r="N66" s="75"/>
    </row>
    <row r="67" spans="2:14" x14ac:dyDescent="0.3">
      <c r="B67" s="74"/>
      <c r="F67" s="275" t="s">
        <v>232</v>
      </c>
      <c r="G67" s="249" t="s">
        <v>230</v>
      </c>
      <c r="H67" s="250">
        <f>T_para</f>
        <v>16</v>
      </c>
      <c r="I67" s="251">
        <f ca="1">Temps_culmi</f>
        <v>15.599999999999962</v>
      </c>
      <c r="J67" s="2"/>
      <c r="K67" s="2"/>
      <c r="N67" s="75"/>
    </row>
    <row r="68" spans="2:14" x14ac:dyDescent="0.3">
      <c r="B68" s="74"/>
      <c r="C68" s="6"/>
      <c r="D68" s="2"/>
      <c r="E68" s="2"/>
      <c r="F68" s="275" t="s">
        <v>231</v>
      </c>
      <c r="G68" s="249" t="s">
        <v>129</v>
      </c>
      <c r="H68" s="250">
        <f ca="1">V_para</f>
        <v>8.0492026063895192</v>
      </c>
      <c r="I68" s="251">
        <f>V_satellite</f>
        <v>12.655562623057198</v>
      </c>
      <c r="J68" s="2"/>
      <c r="K68" s="2"/>
      <c r="N68" s="75"/>
    </row>
    <row r="69" spans="2:14" x14ac:dyDescent="0.3">
      <c r="B69" s="74"/>
      <c r="C69" s="6"/>
      <c r="D69" s="2"/>
      <c r="E69" s="2"/>
      <c r="F69" s="276"/>
      <c r="G69" s="2" t="s">
        <v>237</v>
      </c>
      <c r="H69" s="247">
        <f>S_para</f>
        <v>1.99</v>
      </c>
      <c r="I69" s="253">
        <f>S_satellite</f>
        <v>0.1</v>
      </c>
      <c r="J69" s="2"/>
      <c r="K69" s="2"/>
      <c r="N69" s="75"/>
    </row>
    <row r="70" spans="2:14" x14ac:dyDescent="0.3">
      <c r="B70" s="74"/>
      <c r="C70" s="226"/>
      <c r="D70" s="2"/>
      <c r="F70" s="276"/>
      <c r="G70" s="2" t="s">
        <v>236</v>
      </c>
      <c r="H70" s="247">
        <f ca="1">V_ouverture</f>
        <v>23.66704433416033</v>
      </c>
      <c r="I70" s="253">
        <f ca="1">V_ouv_sat</f>
        <v>160.25063119444829</v>
      </c>
      <c r="N70" s="75"/>
    </row>
    <row r="71" spans="2:14" x14ac:dyDescent="0.3">
      <c r="B71" s="74"/>
      <c r="C71" s="226"/>
      <c r="F71" s="276"/>
      <c r="G71" s="2" t="s">
        <v>201</v>
      </c>
      <c r="H71" s="247">
        <f ca="1">m_vide</f>
        <v>8.0500000000000007</v>
      </c>
      <c r="I71" s="253">
        <f>m_satellite</f>
        <v>1</v>
      </c>
      <c r="N71" s="75"/>
    </row>
    <row r="72" spans="2:14" x14ac:dyDescent="0.3">
      <c r="B72" s="74"/>
      <c r="C72" s="226"/>
      <c r="F72" s="276"/>
      <c r="G72" s="2" t="s">
        <v>238</v>
      </c>
      <c r="H72" s="283">
        <f ca="1">1/2*Rho_moyen*S_para*V_ouverture^2</f>
        <v>682.72721965748053</v>
      </c>
      <c r="I72" s="284">
        <f ca="1">1/2*Rho_moyen*S_satellite*V_ouv_sat^2</f>
        <v>1572.916218890919</v>
      </c>
      <c r="N72" s="75"/>
    </row>
    <row r="73" spans="2:14" x14ac:dyDescent="0.3">
      <c r="B73" s="74"/>
      <c r="D73" s="2"/>
      <c r="F73" s="277"/>
      <c r="G73" s="255" t="s">
        <v>239</v>
      </c>
      <c r="H73" s="256">
        <f ca="1">H72/9.81</f>
        <v>69.595027488020435</v>
      </c>
      <c r="I73" s="257">
        <f ca="1">I72/9.81</f>
        <v>160.33804473913546</v>
      </c>
      <c r="N73" s="75"/>
    </row>
    <row r="74" spans="2:14" ht="12.9" thickBot="1" x14ac:dyDescent="0.35">
      <c r="B74" s="77"/>
      <c r="C74" s="78"/>
      <c r="D74" s="78"/>
      <c r="E74" s="78"/>
      <c r="F74" s="78"/>
      <c r="G74" s="78"/>
      <c r="H74" s="78"/>
      <c r="I74" s="78"/>
      <c r="J74" s="78"/>
      <c r="K74" s="78"/>
      <c r="L74" s="78"/>
      <c r="M74" s="78"/>
      <c r="N74" s="79"/>
    </row>
    <row r="76" spans="2:14" ht="12.9" thickBot="1" x14ac:dyDescent="0.35"/>
    <row r="77" spans="2:14" x14ac:dyDescent="0.3">
      <c r="B77" s="71"/>
      <c r="C77" s="72"/>
      <c r="D77" s="72"/>
      <c r="E77" s="72"/>
      <c r="F77" s="72"/>
      <c r="G77" s="72"/>
      <c r="H77" s="72"/>
      <c r="I77" s="72"/>
      <c r="J77" s="72"/>
      <c r="K77" s="72"/>
      <c r="L77" s="72"/>
      <c r="M77" s="72"/>
      <c r="N77" s="73"/>
    </row>
    <row r="78" spans="2:14" x14ac:dyDescent="0.3">
      <c r="B78" s="74"/>
      <c r="D78" s="2" t="s">
        <v>331</v>
      </c>
      <c r="N78" s="75"/>
    </row>
    <row r="79" spans="2:14" ht="12.75" customHeight="1" x14ac:dyDescent="0.4">
      <c r="B79" s="74"/>
      <c r="E79" s="48"/>
      <c r="F79" s="48"/>
      <c r="G79" s="435" t="s">
        <v>337</v>
      </c>
      <c r="I79" s="448"/>
      <c r="J79" s="48"/>
      <c r="K79" s="48"/>
      <c r="N79" s="75"/>
    </row>
    <row r="80" spans="2:14" x14ac:dyDescent="0.3">
      <c r="B80" s="74"/>
      <c r="C80" s="275" t="s">
        <v>332</v>
      </c>
      <c r="D80" s="243" t="str">
        <f>Nom</f>
        <v>Hellfire</v>
      </c>
      <c r="E80" s="48"/>
      <c r="F80" s="48"/>
      <c r="G80" s="48"/>
      <c r="H80" s="48"/>
      <c r="I80" s="48"/>
      <c r="J80" s="48"/>
      <c r="K80" s="48"/>
      <c r="N80" s="75"/>
    </row>
    <row r="81" spans="2:14" ht="12.9" thickBot="1" x14ac:dyDescent="0.35">
      <c r="B81" s="74"/>
      <c r="C81" s="276" t="s">
        <v>4</v>
      </c>
      <c r="D81" s="244" t="str">
        <f>Club</f>
        <v>Acelspace</v>
      </c>
      <c r="E81" s="48"/>
      <c r="F81" s="48"/>
      <c r="G81" s="48"/>
      <c r="H81" s="48"/>
      <c r="I81" s="48"/>
      <c r="J81" s="48"/>
      <c r="K81" s="48"/>
      <c r="N81" s="75"/>
    </row>
    <row r="82" spans="2:14" ht="12.9" thickBot="1" x14ac:dyDescent="0.35">
      <c r="B82" s="74"/>
      <c r="C82" s="432" t="s">
        <v>333</v>
      </c>
      <c r="D82" s="244" t="s">
        <v>14</v>
      </c>
      <c r="E82" s="273" t="s">
        <v>338</v>
      </c>
      <c r="F82" s="441">
        <f>Long_ogive</f>
        <v>35</v>
      </c>
      <c r="G82" s="48"/>
      <c r="H82" s="48"/>
      <c r="I82" s="48"/>
      <c r="J82" s="48"/>
      <c r="K82" s="48"/>
      <c r="N82" s="75"/>
    </row>
    <row r="83" spans="2:14" x14ac:dyDescent="0.3">
      <c r="B83" s="74"/>
      <c r="C83" s="277" t="s">
        <v>334</v>
      </c>
      <c r="D83" s="433">
        <f ca="1">TODAY()</f>
        <v>45482</v>
      </c>
      <c r="E83" s="48"/>
      <c r="F83" s="436"/>
      <c r="G83" s="48"/>
      <c r="H83" s="48"/>
      <c r="I83" s="48"/>
      <c r="J83" s="48"/>
      <c r="K83" s="48"/>
      <c r="N83" s="75"/>
    </row>
    <row r="84" spans="2:14" ht="12.9" thickBot="1" x14ac:dyDescent="0.35">
      <c r="B84" s="74"/>
      <c r="E84" s="48"/>
      <c r="F84" s="436"/>
      <c r="G84" s="48"/>
      <c r="H84" s="48"/>
      <c r="I84" s="48"/>
      <c r="J84" s="440">
        <f>IF(RIGHT(Nb_diam,1)=",", "", X_j)</f>
        <v>35</v>
      </c>
      <c r="K84" s="48"/>
      <c r="N84" s="75"/>
    </row>
    <row r="85" spans="2:14" ht="12.9" thickBot="1" x14ac:dyDescent="0.35">
      <c r="B85" s="74"/>
      <c r="C85" s="275" t="s">
        <v>335</v>
      </c>
      <c r="D85" s="243" t="str">
        <f>Propu</f>
        <v>Pro54-5G WT</v>
      </c>
      <c r="E85" s="273" t="s">
        <v>339</v>
      </c>
      <c r="F85" s="441">
        <f>D_og</f>
        <v>90</v>
      </c>
      <c r="G85" s="48"/>
      <c r="H85" s="48"/>
      <c r="I85" s="48"/>
      <c r="J85" s="436"/>
      <c r="K85" s="48"/>
      <c r="N85" s="75"/>
    </row>
    <row r="86" spans="2:14" x14ac:dyDescent="0.3">
      <c r="B86" s="74"/>
      <c r="C86" s="277" t="s">
        <v>336</v>
      </c>
      <c r="D86" s="260" t="s">
        <v>14</v>
      </c>
      <c r="E86" s="48"/>
      <c r="F86" s="436"/>
      <c r="G86" s="48"/>
      <c r="H86" s="48"/>
      <c r="I86" s="48"/>
      <c r="J86" s="440">
        <f>IF(RIGHT(Nb_diam,1)=",", "", X_r)</f>
        <v>500</v>
      </c>
      <c r="K86" s="48"/>
      <c r="N86" s="75"/>
    </row>
    <row r="87" spans="2:14" x14ac:dyDescent="0.3">
      <c r="B87" s="74"/>
      <c r="E87" s="48"/>
      <c r="F87" s="436"/>
      <c r="G87" s="48"/>
      <c r="H87" s="48"/>
      <c r="I87" s="48"/>
      <c r="J87" s="436"/>
      <c r="K87" s="48"/>
      <c r="N87" s="75"/>
    </row>
    <row r="88" spans="2:14" x14ac:dyDescent="0.3">
      <c r="B88" s="74"/>
      <c r="E88" s="48"/>
      <c r="F88" s="436"/>
      <c r="G88" s="48"/>
      <c r="H88" s="48"/>
      <c r="I88" s="48"/>
      <c r="J88" s="440">
        <f>IF(RIGHT(Nb_diam,1)=",", "", l_j)</f>
        <v>150</v>
      </c>
      <c r="K88" s="48"/>
      <c r="N88" s="75"/>
    </row>
    <row r="89" spans="2:14" ht="12.9" thickBot="1" x14ac:dyDescent="0.35">
      <c r="B89" s="74"/>
      <c r="E89" s="48"/>
      <c r="F89" s="436"/>
      <c r="G89" s="48"/>
      <c r="H89" s="48"/>
      <c r="I89" s="48"/>
      <c r="J89" s="436"/>
      <c r="K89" s="48"/>
      <c r="N89" s="75"/>
    </row>
    <row r="90" spans="2:14" ht="12.9" thickBot="1" x14ac:dyDescent="0.35">
      <c r="B90" s="74"/>
      <c r="E90" s="434" t="s">
        <v>340</v>
      </c>
      <c r="F90" s="440">
        <f>IF(RIGHT(Nb_diam,1)=",", "", D2j)</f>
        <v>100</v>
      </c>
      <c r="G90" s="48"/>
      <c r="H90" s="48"/>
      <c r="I90" s="48"/>
      <c r="J90" s="441">
        <f>X_ail-m_ail</f>
        <v>1895</v>
      </c>
      <c r="K90" s="2"/>
      <c r="N90" s="75"/>
    </row>
    <row r="91" spans="2:14" x14ac:dyDescent="0.3">
      <c r="B91" s="74"/>
      <c r="E91" s="48"/>
      <c r="F91" s="436"/>
      <c r="G91" s="48"/>
      <c r="H91" s="48"/>
      <c r="I91" s="48"/>
      <c r="J91" s="436"/>
      <c r="K91" s="48"/>
      <c r="N91" s="75"/>
    </row>
    <row r="92" spans="2:14" x14ac:dyDescent="0.3">
      <c r="B92" s="74"/>
      <c r="E92" s="48"/>
      <c r="F92" s="436"/>
      <c r="G92" s="48"/>
      <c r="H92" s="48"/>
      <c r="I92" s="48"/>
      <c r="J92" s="440">
        <f>IF(RIGHT(Nb_diam,1)=",", "", l_r)</f>
        <v>50</v>
      </c>
      <c r="K92" s="48"/>
      <c r="N92" s="75"/>
    </row>
    <row r="93" spans="2:14" x14ac:dyDescent="0.3">
      <c r="B93" s="74"/>
      <c r="E93" s="48"/>
      <c r="F93" s="436"/>
      <c r="G93" s="48"/>
      <c r="H93" s="48"/>
      <c r="I93" s="48"/>
      <c r="J93" s="436"/>
      <c r="K93" s="48"/>
      <c r="N93" s="75"/>
    </row>
    <row r="94" spans="2:14" x14ac:dyDescent="0.3">
      <c r="B94" s="74"/>
      <c r="E94" s="434" t="s">
        <v>341</v>
      </c>
      <c r="F94" s="440">
        <f>IF(RIGHT(Nb_diam,1)=",", "", D2r)</f>
        <v>100</v>
      </c>
      <c r="G94" s="48"/>
      <c r="H94" s="48"/>
      <c r="I94" s="48"/>
      <c r="J94" s="436"/>
      <c r="K94" s="48"/>
      <c r="N94" s="75"/>
    </row>
    <row r="95" spans="2:14" x14ac:dyDescent="0.3">
      <c r="B95" s="74"/>
      <c r="E95" s="48"/>
      <c r="F95" s="436"/>
      <c r="G95" s="48"/>
      <c r="H95" s="48"/>
      <c r="I95" s="48"/>
      <c r="J95" s="436"/>
      <c r="K95" s="48"/>
      <c r="N95" s="75"/>
    </row>
    <row r="96" spans="2:14" ht="12.9" thickBot="1" x14ac:dyDescent="0.35">
      <c r="B96" s="74"/>
      <c r="E96" s="48"/>
      <c r="F96" s="436"/>
      <c r="G96" s="48"/>
      <c r="H96" s="48"/>
      <c r="I96" s="48"/>
      <c r="J96" s="436"/>
      <c r="K96" s="48"/>
      <c r="N96" s="75"/>
    </row>
    <row r="97" spans="2:14" ht="12.9" thickBot="1" x14ac:dyDescent="0.35">
      <c r="B97" s="74"/>
      <c r="E97" s="273" t="s">
        <v>342</v>
      </c>
      <c r="F97" s="441">
        <f>m_ail</f>
        <v>290</v>
      </c>
      <c r="G97" s="48"/>
      <c r="H97" s="48"/>
      <c r="I97" s="48"/>
      <c r="J97" s="441">
        <f>p_ail</f>
        <v>70</v>
      </c>
      <c r="K97" s="2"/>
      <c r="N97" s="75"/>
    </row>
    <row r="98" spans="2:14" x14ac:dyDescent="0.3">
      <c r="B98" s="74"/>
      <c r="E98" s="48"/>
      <c r="F98" s="48"/>
      <c r="G98" s="48"/>
      <c r="H98" s="48"/>
      <c r="I98" s="48"/>
      <c r="J98" s="436"/>
      <c r="K98" s="48"/>
      <c r="N98" s="75"/>
    </row>
    <row r="99" spans="2:14" x14ac:dyDescent="0.3">
      <c r="B99" s="74"/>
      <c r="E99" s="48"/>
      <c r="F99" s="48"/>
      <c r="G99" s="48"/>
      <c r="H99" s="48"/>
      <c r="I99" s="48"/>
      <c r="J99" s="436"/>
      <c r="K99" s="48"/>
      <c r="N99" s="75"/>
    </row>
    <row r="100" spans="2:14" ht="12.9" thickBot="1" x14ac:dyDescent="0.35">
      <c r="B100" s="74"/>
      <c r="D100" s="429" t="s">
        <v>344</v>
      </c>
      <c r="E100" s="246">
        <f>Q_ail</f>
        <v>4</v>
      </c>
      <c r="F100" s="430"/>
      <c r="G100" s="48"/>
      <c r="H100" s="48"/>
      <c r="I100" s="48"/>
      <c r="J100" s="436"/>
      <c r="K100" s="48"/>
      <c r="N100" s="75"/>
    </row>
    <row r="101" spans="2:14" ht="12.9" thickBot="1" x14ac:dyDescent="0.35">
      <c r="B101" s="74"/>
      <c r="D101" s="437" t="s">
        <v>348</v>
      </c>
      <c r="E101" s="6">
        <f ca="1">XpropuRef-Long_propu</f>
        <v>1707</v>
      </c>
      <c r="F101" s="252"/>
      <c r="G101" s="48"/>
      <c r="H101" s="48"/>
      <c r="I101" s="48"/>
      <c r="J101" s="441">
        <f>n_ail</f>
        <v>150</v>
      </c>
      <c r="K101" s="2"/>
      <c r="N101" s="75"/>
    </row>
    <row r="102" spans="2:14" x14ac:dyDescent="0.3">
      <c r="B102" s="74"/>
      <c r="D102" s="437" t="s">
        <v>345</v>
      </c>
      <c r="E102" s="6">
        <f>IF(LEFT(Forme_ogive,4)="Ogiv",1,0)</f>
        <v>0</v>
      </c>
      <c r="F102" s="252" t="s">
        <v>346</v>
      </c>
      <c r="G102" s="48"/>
      <c r="H102" s="48"/>
      <c r="I102" s="48"/>
      <c r="J102" s="436"/>
      <c r="K102" s="48"/>
      <c r="N102" s="75"/>
    </row>
    <row r="103" spans="2:14" x14ac:dyDescent="0.3">
      <c r="B103" s="74"/>
      <c r="D103" s="437"/>
      <c r="E103" s="6">
        <f>IF(LEFT(Forme_ogive,3)="Con",1,0)</f>
        <v>0</v>
      </c>
      <c r="F103" s="252" t="s">
        <v>159</v>
      </c>
      <c r="G103" s="48"/>
      <c r="H103" s="48"/>
      <c r="I103" s="48"/>
      <c r="J103" s="436"/>
      <c r="K103" s="48"/>
      <c r="N103" s="75"/>
    </row>
    <row r="104" spans="2:14" ht="12.9" thickBot="1" x14ac:dyDescent="0.35">
      <c r="B104" s="74"/>
      <c r="D104" s="431"/>
      <c r="E104" s="274">
        <f>IF(LEFT(Forme_ogive,5)="Parab",1,0)</f>
        <v>1</v>
      </c>
      <c r="F104" s="289" t="s">
        <v>347</v>
      </c>
      <c r="G104" s="48"/>
      <c r="H104" s="48"/>
      <c r="I104" s="48"/>
      <c r="J104" s="12" t="s">
        <v>343</v>
      </c>
      <c r="K104" s="48"/>
      <c r="N104" s="75"/>
    </row>
    <row r="105" spans="2:14" ht="12.9" thickBot="1" x14ac:dyDescent="0.35">
      <c r="B105" s="74"/>
      <c r="D105" s="2"/>
      <c r="E105" s="2"/>
      <c r="F105" s="2"/>
      <c r="G105" s="273"/>
      <c r="H105" s="441">
        <f>E_ail</f>
        <v>128</v>
      </c>
      <c r="I105" s="273"/>
      <c r="J105" s="441">
        <f>ep_ail</f>
        <v>2</v>
      </c>
      <c r="K105" s="48"/>
      <c r="N105" s="75"/>
    </row>
    <row r="106" spans="2:14" x14ac:dyDescent="0.3">
      <c r="B106" s="74"/>
      <c r="D106" s="429"/>
      <c r="E106" s="246" t="s">
        <v>352</v>
      </c>
      <c r="F106" s="243" t="s">
        <v>351</v>
      </c>
      <c r="N106" s="75"/>
    </row>
    <row r="107" spans="2:14" x14ac:dyDescent="0.3">
      <c r="B107" s="74"/>
      <c r="D107" s="437" t="s">
        <v>349</v>
      </c>
      <c r="E107" s="6">
        <f>MasseSans</f>
        <v>7.4</v>
      </c>
      <c r="F107" s="244">
        <f ca="1">MassePlein</f>
        <v>9.032</v>
      </c>
      <c r="N107" s="75"/>
    </row>
    <row r="108" spans="2:14" x14ac:dyDescent="0.3">
      <c r="B108" s="74"/>
      <c r="D108" s="431" t="s">
        <v>350</v>
      </c>
      <c r="E108" s="274">
        <f>XcgSans</f>
        <v>1215</v>
      </c>
      <c r="F108" s="260">
        <f ca="1">XcgPlein</f>
        <v>1349.0726306465899</v>
      </c>
      <c r="N108" s="75"/>
    </row>
    <row r="109" spans="2:14" x14ac:dyDescent="0.3">
      <c r="B109" s="74"/>
      <c r="N109" s="75"/>
    </row>
    <row r="110" spans="2:14" x14ac:dyDescent="0.3">
      <c r="B110" s="74"/>
      <c r="D110" s="438" t="s">
        <v>353</v>
      </c>
      <c r="E110" s="439">
        <f ca="1">MasseVide</f>
        <v>8.0500000000000007</v>
      </c>
      <c r="G110" s="429" t="s">
        <v>354</v>
      </c>
      <c r="H110" s="265"/>
      <c r="I110" s="265"/>
      <c r="J110" s="266"/>
      <c r="N110" s="75"/>
    </row>
    <row r="111" spans="2:14" x14ac:dyDescent="0.3">
      <c r="B111" s="74"/>
      <c r="G111" s="276" t="s">
        <v>213</v>
      </c>
      <c r="H111" s="6">
        <f>Beta_rampe</f>
        <v>80</v>
      </c>
      <c r="I111" s="6">
        <v>80</v>
      </c>
      <c r="J111" s="244">
        <v>90</v>
      </c>
      <c r="N111" s="75"/>
    </row>
    <row r="112" spans="2:14" x14ac:dyDescent="0.3">
      <c r="B112" s="74"/>
      <c r="G112" s="278" t="s">
        <v>215</v>
      </c>
      <c r="H112" s="247">
        <f ca="1">Temps_culmi</f>
        <v>15.599999999999962</v>
      </c>
      <c r="I112" s="259"/>
      <c r="J112" s="268"/>
      <c r="N112" s="75"/>
    </row>
    <row r="113" spans="2:14" ht="12.75" customHeight="1" x14ac:dyDescent="0.4">
      <c r="B113" s="74"/>
      <c r="D113" s="435" t="s">
        <v>355</v>
      </c>
      <c r="E113" s="48"/>
      <c r="G113" s="278" t="s">
        <v>216</v>
      </c>
      <c r="H113" s="242">
        <f ca="1">Altitude_culmi</f>
        <v>1336.2190763527988</v>
      </c>
      <c r="I113" s="259"/>
      <c r="J113" s="268"/>
      <c r="N113" s="75"/>
    </row>
    <row r="114" spans="2:14" ht="12.75" customHeight="1" x14ac:dyDescent="0.4">
      <c r="B114" s="74"/>
      <c r="D114" s="48"/>
      <c r="E114" s="48"/>
      <c r="F114" s="435"/>
      <c r="G114" s="278" t="s">
        <v>217</v>
      </c>
      <c r="H114" s="248">
        <f ca="1">Vit_culmi</f>
        <v>23.542286849940808</v>
      </c>
      <c r="I114" s="259"/>
      <c r="J114" s="268"/>
      <c r="N114" s="75"/>
    </row>
    <row r="115" spans="2:14" x14ac:dyDescent="0.3">
      <c r="B115" s="74"/>
      <c r="C115" s="429" t="s">
        <v>356</v>
      </c>
      <c r="D115" s="249"/>
      <c r="E115" s="446">
        <v>0.1</v>
      </c>
      <c r="G115" s="278" t="s">
        <v>133</v>
      </c>
      <c r="H115" s="242">
        <f ca="1">Portee_balistique</f>
        <v>780.60585379989482</v>
      </c>
      <c r="I115" s="259"/>
      <c r="J115" s="268"/>
      <c r="N115" s="75"/>
    </row>
    <row r="116" spans="2:14" ht="12.75" customHeight="1" x14ac:dyDescent="0.3">
      <c r="B116" s="74"/>
      <c r="C116" s="431" t="s">
        <v>357</v>
      </c>
      <c r="D116" s="255"/>
      <c r="E116" s="447">
        <f>E_ail*(m_ail+n_ail)/2</f>
        <v>28160</v>
      </c>
      <c r="G116" s="278" t="s">
        <v>137</v>
      </c>
      <c r="H116" s="248">
        <f ca="1">Vit_max</f>
        <v>205.4711320347557</v>
      </c>
      <c r="I116" s="259"/>
      <c r="J116" s="268"/>
      <c r="N116" s="75"/>
    </row>
    <row r="117" spans="2:14" ht="12.75" customHeight="1" x14ac:dyDescent="0.3">
      <c r="B117" s="74"/>
      <c r="D117" s="48"/>
      <c r="E117" s="48"/>
      <c r="F117" s="48"/>
      <c r="G117" s="278" t="s">
        <v>136</v>
      </c>
      <c r="H117" s="242">
        <f ca="1">Acc_max</f>
        <v>140.81146137770136</v>
      </c>
      <c r="I117" s="259"/>
      <c r="J117" s="268"/>
      <c r="N117" s="75"/>
    </row>
    <row r="118" spans="2:14" x14ac:dyDescent="0.3">
      <c r="B118" s="74"/>
      <c r="C118" s="429" t="s">
        <v>358</v>
      </c>
      <c r="D118" s="249"/>
      <c r="E118" s="457"/>
      <c r="F118" s="458">
        <f>J90/100</f>
        <v>18.95</v>
      </c>
      <c r="G118" s="276" t="s">
        <v>5</v>
      </c>
      <c r="H118" s="6">
        <f>Cx</f>
        <v>0.7</v>
      </c>
      <c r="I118" s="259"/>
      <c r="J118" s="268"/>
      <c r="N118" s="75"/>
    </row>
    <row r="119" spans="2:14" x14ac:dyDescent="0.3">
      <c r="B119" s="74"/>
      <c r="C119" s="437" t="s">
        <v>359</v>
      </c>
      <c r="D119" s="2"/>
      <c r="E119" s="459">
        <f ca="1">2*Acc_max*MasseSans</f>
        <v>2084.0096283899802</v>
      </c>
      <c r="F119" s="460">
        <f ca="1">E119/g</f>
        <v>212.43727098776554</v>
      </c>
      <c r="G119" s="269" t="s">
        <v>222</v>
      </c>
      <c r="H119" s="270"/>
      <c r="I119" s="270"/>
      <c r="J119" s="271"/>
      <c r="N119" s="75"/>
    </row>
    <row r="120" spans="2:14" x14ac:dyDescent="0.3">
      <c r="B120" s="74"/>
      <c r="C120" s="437" t="s">
        <v>360</v>
      </c>
      <c r="D120" s="2"/>
      <c r="E120" s="459">
        <f ca="1">2*Acc_max*E115</f>
        <v>28.162292275540274</v>
      </c>
      <c r="F120" s="460">
        <f ca="1">E120/g</f>
        <v>2.8707739322671024</v>
      </c>
      <c r="N120" s="75"/>
    </row>
    <row r="121" spans="2:14" x14ac:dyDescent="0.3">
      <c r="B121" s="74"/>
      <c r="C121" s="431" t="s">
        <v>361</v>
      </c>
      <c r="D121" s="255"/>
      <c r="E121" s="452">
        <f ca="1">0.104*E116/1000000*Vit_max^2</f>
        <v>123.64245426686144</v>
      </c>
      <c r="F121" s="453">
        <f ca="1">E121/g</f>
        <v>12.603716031280472</v>
      </c>
      <c r="G121" s="48"/>
      <c r="H121" s="48"/>
      <c r="I121" s="48"/>
      <c r="J121" s="48"/>
      <c r="N121" s="75"/>
    </row>
    <row r="122" spans="2:14" ht="12.75" customHeight="1" x14ac:dyDescent="0.3">
      <c r="B122" s="74"/>
      <c r="H122" s="48"/>
      <c r="I122" s="48"/>
      <c r="J122" s="48"/>
      <c r="N122" s="75"/>
    </row>
    <row r="123" spans="2:14" ht="12.75" customHeight="1" x14ac:dyDescent="0.4">
      <c r="B123" s="74"/>
      <c r="G123" s="435"/>
      <c r="H123" s="435"/>
      <c r="I123" s="435"/>
      <c r="J123" s="48"/>
      <c r="N123" s="75"/>
    </row>
    <row r="124" spans="2:14" ht="12.75" customHeight="1" x14ac:dyDescent="0.4">
      <c r="B124" s="74"/>
      <c r="C124" s="48"/>
      <c r="D124" s="435" t="s">
        <v>362</v>
      </c>
      <c r="E124" s="448"/>
      <c r="J124" s="48"/>
      <c r="K124" s="48"/>
      <c r="N124" s="75"/>
    </row>
    <row r="125" spans="2:14" x14ac:dyDescent="0.3">
      <c r="B125" s="74"/>
      <c r="C125" s="445" t="s">
        <v>363</v>
      </c>
      <c r="J125" s="48"/>
      <c r="K125" s="48"/>
      <c r="N125" s="75"/>
    </row>
    <row r="126" spans="2:14" x14ac:dyDescent="0.3">
      <c r="B126" s="74"/>
      <c r="C126" s="429" t="s">
        <v>364</v>
      </c>
      <c r="D126" s="249"/>
      <c r="E126" s="449">
        <v>4</v>
      </c>
      <c r="G126" s="48"/>
      <c r="J126" s="48"/>
      <c r="N126" s="75"/>
    </row>
    <row r="127" spans="2:14" x14ac:dyDescent="0.3">
      <c r="B127" s="74"/>
      <c r="C127" s="431" t="s">
        <v>365</v>
      </c>
      <c r="D127" s="255"/>
      <c r="E127" s="456">
        <f>S_para</f>
        <v>1.99</v>
      </c>
      <c r="G127" s="48"/>
      <c r="J127" s="48"/>
      <c r="N127" s="75"/>
    </row>
    <row r="128" spans="2:14" x14ac:dyDescent="0.3">
      <c r="B128" s="74"/>
      <c r="C128" s="670" t="s">
        <v>366</v>
      </c>
      <c r="D128" s="671"/>
      <c r="E128" s="450">
        <f ca="1">0.5*Rho_moyen*S_para*Vit_culmi^2</f>
        <v>675.54839037348268</v>
      </c>
      <c r="F128" s="451">
        <f ca="1">E128/g</f>
        <v>68.863240608917707</v>
      </c>
      <c r="H128" s="48"/>
      <c r="I128" s="48"/>
      <c r="J128" s="48"/>
      <c r="K128" s="48"/>
      <c r="N128" s="75"/>
    </row>
    <row r="129" spans="2:14" x14ac:dyDescent="0.3">
      <c r="B129" s="74"/>
      <c r="C129" s="668" t="s">
        <v>367</v>
      </c>
      <c r="D129" s="669"/>
      <c r="E129" s="452">
        <f ca="1">E128/E126*2</f>
        <v>337.77419518674134</v>
      </c>
      <c r="F129" s="453">
        <f ca="1">E129/g</f>
        <v>34.431620304458853</v>
      </c>
      <c r="H129" s="48"/>
      <c r="I129" s="48"/>
      <c r="J129" s="48"/>
      <c r="K129" s="48"/>
      <c r="N129" s="75"/>
    </row>
    <row r="130" spans="2:14" x14ac:dyDescent="0.3">
      <c r="B130" s="74"/>
      <c r="C130" s="47"/>
      <c r="D130" s="47"/>
      <c r="E130" s="443"/>
      <c r="F130" s="444"/>
      <c r="H130" s="48"/>
      <c r="I130" s="48"/>
      <c r="J130" s="48"/>
      <c r="K130" s="48"/>
      <c r="N130" s="75"/>
    </row>
    <row r="131" spans="2:14" x14ac:dyDescent="0.3">
      <c r="B131" s="74"/>
      <c r="C131" s="445" t="s">
        <v>368</v>
      </c>
      <c r="D131" s="48"/>
      <c r="E131" s="48"/>
      <c r="F131" s="48"/>
      <c r="G131" s="48"/>
      <c r="H131" s="48"/>
      <c r="I131" s="48"/>
      <c r="J131" s="48"/>
      <c r="K131" s="48"/>
      <c r="N131" s="75"/>
    </row>
    <row r="132" spans="2:14" x14ac:dyDescent="0.3">
      <c r="B132" s="74"/>
      <c r="C132" s="670" t="s">
        <v>369</v>
      </c>
      <c r="D132" s="671"/>
      <c r="E132" s="454">
        <v>1</v>
      </c>
      <c r="F132" s="48"/>
      <c r="G132" s="48"/>
      <c r="H132" s="48"/>
      <c r="I132" s="48"/>
      <c r="J132" s="442"/>
      <c r="K132" s="48"/>
      <c r="N132" s="75"/>
    </row>
    <row r="133" spans="2:14" x14ac:dyDescent="0.3">
      <c r="B133" s="74"/>
      <c r="C133" s="668" t="s">
        <v>370</v>
      </c>
      <c r="D133" s="669"/>
      <c r="E133" s="455">
        <f ca="1">2*E132*Acc_max/g</f>
        <v>28.707739322671021</v>
      </c>
      <c r="F133" s="48"/>
      <c r="G133" s="48"/>
      <c r="H133" s="48"/>
      <c r="I133" s="48"/>
      <c r="J133" s="48"/>
      <c r="K133" s="48"/>
      <c r="N133" s="75"/>
    </row>
    <row r="134" spans="2:14" ht="12.9" thickBot="1" x14ac:dyDescent="0.3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Abaco!Print_Area</vt:lpstr>
      <vt:lpstr>Courbes!Print_Area</vt:lpstr>
      <vt:lpstr>Stabilito!Print_Area</vt:lpstr>
      <vt:lpstr>Trajecto!Print_Area</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Mixcraftio</cp:lastModifiedBy>
  <cp:lastPrinted>2011-11-08T21:12:34Z</cp:lastPrinted>
  <dcterms:created xsi:type="dcterms:W3CDTF">2008-11-03T20:48:06Z</dcterms:created>
  <dcterms:modified xsi:type="dcterms:W3CDTF">2024-07-09T21:59:42Z</dcterms:modified>
</cp:coreProperties>
</file>